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32760" windowWidth="17220" windowHeight="7605" activeTab="0"/>
  </bookViews>
  <sheets>
    <sheet name="2VSAFAS 2pr" sheetId="1" r:id="rId1"/>
    <sheet name="3 VSAFAS 2pr." sheetId="2" r:id="rId2"/>
  </sheets>
  <definedNames/>
  <calcPr fullCalcOnLoad="1"/>
</workbook>
</file>

<file path=xl/comments2.xml><?xml version="1.0" encoding="utf-8"?>
<comments xmlns="http://schemas.openxmlformats.org/spreadsheetml/2006/main">
  <authors>
    <author>Kristina Stankevičienė</author>
    <author>irena_t</author>
  </authors>
  <commentList>
    <comment ref="J17" authorId="0">
      <text>
        <r>
          <rPr>
            <b/>
            <sz val="9"/>
            <rFont val="Tahoma"/>
            <family val="2"/>
          </rPr>
          <t>Kristina Stankevičienė:</t>
        </r>
        <r>
          <rPr>
            <sz val="9"/>
            <rFont val="Tahoma"/>
            <family val="2"/>
          </rPr>
          <t xml:space="preserve">
likuciai praejusiu metu ketvircio likuciai</t>
        </r>
      </text>
    </comment>
    <comment ref="D38" authorId="0">
      <text>
        <r>
          <rPr>
            <b/>
            <sz val="9"/>
            <rFont val="Tahoma"/>
            <family val="2"/>
          </rPr>
          <t>Kristina Stankevičienė:</t>
        </r>
        <r>
          <rPr>
            <sz val="9"/>
            <rFont val="Tahoma"/>
            <family val="2"/>
          </rPr>
          <t xml:space="preserve">
8231003 sask
mok.važin
</t>
        </r>
      </text>
    </comment>
    <comment ref="I48" authorId="1">
      <text>
        <r>
          <rPr>
            <b/>
            <sz val="9"/>
            <rFont val="Tahoma"/>
            <family val="2"/>
          </rPr>
          <t>irena_t:</t>
        </r>
        <r>
          <rPr>
            <sz val="9"/>
            <rFont val="Tahoma"/>
            <family val="2"/>
          </rPr>
          <t xml:space="preserve">
DELSPINIG</t>
        </r>
      </text>
    </comment>
    <comment ref="J45" authorId="1">
      <text>
        <r>
          <rPr>
            <b/>
            <sz val="9"/>
            <rFont val="Tahoma"/>
            <family val="2"/>
          </rPr>
          <t>irena_t:</t>
        </r>
        <r>
          <rPr>
            <sz val="9"/>
            <rFont val="Tahoma"/>
            <family val="2"/>
          </rPr>
          <t xml:space="preserve">
patalpų nuoma
</t>
        </r>
      </text>
    </comment>
    <comment ref="J48" authorId="1">
      <text>
        <r>
          <rPr>
            <b/>
            <sz val="9"/>
            <rFont val="Tahoma"/>
            <family val="2"/>
          </rPr>
          <t>irena_t:</t>
        </r>
        <r>
          <rPr>
            <sz val="9"/>
            <rFont val="Tahoma"/>
            <family val="2"/>
          </rPr>
          <t xml:space="preserve">
DELSPINIG</t>
        </r>
      </text>
    </comment>
  </commentList>
</comments>
</file>

<file path=xl/sharedStrings.xml><?xml version="1.0" encoding="utf-8"?>
<sst xmlns="http://schemas.openxmlformats.org/spreadsheetml/2006/main" count="308" uniqueCount="224">
  <si>
    <t>2-ojo VSAFAS „Finansinės būklės ataskaita“</t>
  </si>
  <si>
    <t>2 priedas</t>
  </si>
  <si>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</si>
  <si>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</si>
  <si>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</si>
  <si>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</si>
  <si>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</si>
  <si>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</si>
  <si>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</si>
  <si>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</si>
  <si>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</si>
  <si>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</si>
  <si>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</si>
  <si>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</si>
  <si>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</si>
  <si>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</si>
  <si>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</si>
  <si>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</si>
  <si>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</si>
  <si>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</si>
  <si>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</si>
  <si>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</si>
  <si>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</si>
  <si>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</si>
  <si>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</si>
  <si>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</si>
  <si>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</si>
  <si>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</si>
  <si>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</si>
  <si>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</si>
  <si>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</si>
  <si>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</si>
  <si>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</si>
  <si>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</si>
  <si>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</si>
  <si>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</si>
  <si>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</si>
  <si>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</si>
  <si>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</si>
  <si>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</si>
  <si>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</si>
  <si>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III.</t>
  </si>
  <si>
    <t>Ilgalaikis finansinis turtas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</si>
  <si>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</si>
  <si>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</si>
  <si>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</si>
  <si>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</si>
  <si>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</si>
  <si>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</si>
  <si>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</si>
  <si>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</si>
  <si>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</si>
  <si>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</si>
  <si>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I.5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</si>
  <si>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</si>
  <si>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</si>
  <si>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</si>
  <si>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</si>
  <si>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Gautini mokesčiai ir socialinės įmokos</t>
  </si>
  <si>
    <t>Gautinos finansavimo sumos</t>
  </si>
  <si>
    <t>III.3</t>
  </si>
  <si>
    <t>Gautinos sumos už turto naudojimą, parduotas prekes, turtą, paslaugas</t>
  </si>
  <si>
    <t>III.4</t>
  </si>
  <si>
    <t>Sukauptos gautinos sumos</t>
  </si>
  <si>
    <t>III.5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</si>
  <si>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</si>
  <si>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</si>
  <si>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</si>
  <si>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</si>
  <si>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</si>
  <si>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</si>
  <si>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</si>
  <si>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</si>
  <si>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</si>
  <si>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</si>
  <si>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</si>
  <si>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</si>
  <si>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</si>
  <si>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</si>
  <si>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</si>
  <si>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</si>
  <si>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</si>
  <si>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</si>
  <si>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</si>
  <si>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</si>
  <si>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</si>
  <si>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</si>
  <si>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</si>
  <si>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</si>
  <si>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biudžetus ir fondus</t>
  </si>
  <si>
    <t>Grąžintinos finansavimo sumos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</si>
  <si>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</si>
  <si>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</si>
  <si>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</si>
  <si>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</si>
  <si>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</si>
  <si>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Sukauptos mokėtinos sumos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</si>
  <si>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</si>
  <si>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</si>
  <si>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</si>
  <si>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</si>
  <si>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</si>
  <si>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</si>
  <si>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</si>
  <si>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</si>
  <si>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</si>
  <si>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</si>
  <si>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</si>
  <si>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</si>
  <si>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</si>
  <si>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</si>
  <si>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IŠ VISO FINANSAVIMO SUMŲ, ĮSIPAREIGOJIMŲ, GRYNOJO TURTO IR MAŽUMOS DALIES:</t>
  </si>
  <si>
    <t>3-iojo VSAFAS „Veiklos rezultatų ataskaita“</t>
  </si>
  <si>
    <t>VEIKLOS REZULTATŲ ATASKAITA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</si>
  <si>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</si>
  <si>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</si>
  <si>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</si>
  <si>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</si>
  <si>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</si>
  <si>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</si>
  <si>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</si>
  <si>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</si>
  <si>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</si>
  <si>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</si>
  <si>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</si>
  <si>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</si>
  <si>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</si>
  <si>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</si>
  <si>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</si>
  <si>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</si>
  <si>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</si>
  <si>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</si>
  <si>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</si>
  <si>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</si>
  <si>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</si>
  <si>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</si>
  <si>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</si>
  <si>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</si>
  <si>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</si>
  <si>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</si>
  <si>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</si>
  <si>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</si>
  <si>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</si>
  <si>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</si>
  <si>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</si>
  <si>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</si>
  <si>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</si>
  <si>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</si>
  <si>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</si>
  <si>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</si>
  <si>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</si>
  <si>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</si>
  <si>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</si>
  <si>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</si>
  <si>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</si>
  <si>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</si>
  <si>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</si>
  <si>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</si>
  <si>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</si>
  <si>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</si>
  <si>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</si>
  <si>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</si>
  <si>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</si>
  <si>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</si>
  <si>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</si>
  <si>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</si>
  <si>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</si>
  <si>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</si>
  <si>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</si>
  <si>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</si>
  <si>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</si>
  <si>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</si>
  <si>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</si>
  <si>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</si>
  <si>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</si>
  <si>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</si>
  <si>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</si>
  <si>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</si>
  <si>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</si>
  <si>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</si>
  <si>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</si>
  <si>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</si>
  <si>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</si>
  <si>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</si>
  <si>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</si>
  <si>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</si>
  <si>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</si>
  <si>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III.2</t>
  </si>
  <si>
    <t>III.6</t>
  </si>
  <si>
    <t>Prestižas</t>
  </si>
  <si>
    <t>Gautinos trumpalaikės finansinės sumos</t>
  </si>
  <si>
    <t>Mokėtinos sumos į Europos Sąjungos biudžetą</t>
  </si>
  <si>
    <t>II.6.1</t>
  </si>
  <si>
    <t>II.11</t>
  </si>
  <si>
    <t>190083299, Lauko 5A, Kupiškio m. Kupiškio r. sav.</t>
  </si>
  <si>
    <t>Mineraliniai ištekliai ir kitas ilgalaikis turtas</t>
  </si>
  <si>
    <t>Pateikimo valiuta ir tikslumas: eurais</t>
  </si>
  <si>
    <t>Lt</t>
  </si>
  <si>
    <t>Eur</t>
  </si>
  <si>
    <t>Savivaldybės įstaigų buhalterinės apskaitos tarnybos vedėja</t>
  </si>
  <si>
    <t>KUPIŠKIO R. KŪNO KULTŪROS IR SPORTO CENTRAS</t>
  </si>
  <si>
    <t>Jolanta Balaišienė</t>
  </si>
  <si>
    <t>L. e. direktorės pareigas</t>
  </si>
  <si>
    <t>Ingrida Tuskienė</t>
  </si>
  <si>
    <t>_____________________________________________________________________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</si>
  <si>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</si>
  <si>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</si>
  <si>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t>Pateikimo valiuta ir tikslumas: eurais arba tūkstančiais eurų</t>
  </si>
  <si>
    <t>Nebaigti projektai ir išankstiniai mokėjimai</t>
  </si>
  <si>
    <t>Nebaigta statyba ir išankstiniai mokėjimai</t>
  </si>
  <si>
    <t>II.6.2</t>
  </si>
  <si>
    <t>II.12</t>
  </si>
  <si>
    <t>MAŽUMOS DALIS</t>
  </si>
  <si>
    <t>L.e.p. direktorė</t>
  </si>
  <si>
    <t>(viešojo sektoriaus subjekto vadovas arba jo įgaliotas administracijos                               (parašas)</t>
  </si>
  <si>
    <t>(vardas ir pavardė)</t>
  </si>
  <si>
    <t xml:space="preserve">vadovas) </t>
  </si>
  <si>
    <t>(vyriausiasis buhalteris (buhalteris))                                                                                          (parašas)</t>
  </si>
  <si>
    <t>190083299, LAUKO G. 5A, KUPIŠKIS</t>
  </si>
  <si>
    <t>6081.48+6663.92+151017.19</t>
  </si>
  <si>
    <t>PAGAL 2021 M. KOVO 31 D. DUOMENIS</t>
  </si>
  <si>
    <t>PAGAL 2021 M. KOVO  31 D. DUOMENIS</t>
  </si>
  <si>
    <t>2021-05-04  Nr. T3-268-1</t>
  </si>
  <si>
    <t>2021-05-04  Nr. T3-268-2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</si>
</sst>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"/>
    <numFmt numFmtId="175" formatCode="0.000"/>
    <numFmt numFmtId="176" formatCode="0.0000"/>
    <numFmt numFmtId="177" formatCode="0.00000"/>
    <numFmt numFmtId="178" formatCode="&quot;Taip&quot;;&quot;Taip&quot;;&quot;Ne&quot;"/>
    <numFmt numFmtId="179" formatCode="&quot;Teisinga&quot;;&quot;Teisinga&quot;;&quot;Klaidinga&quot;"/>
    <numFmt numFmtId="180" formatCode="[$€-2]\ ###,000_);[Red]\([$€-2]\ ###,000\)"/>
  </numFmts>
  <fonts count="63">
    <font>
      <sz val="11"/>
      <color indexed="8"/>
      <name val="Times New Roman"/>
      <family val="2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trike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name val="TimesNewRoman,Bold"/>
      <family val="0"/>
    </font>
    <font>
      <i/>
      <sz val="11"/>
      <name val="TimesNewRoman,Bold"/>
      <family val="0"/>
    </font>
    <font>
      <b/>
      <sz val="12"/>
      <name val="TimesNewRoman,Bold"/>
      <family val="0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TimesNewRoman,Bold"/>
      <family val="0"/>
    </font>
    <font>
      <b/>
      <sz val="11"/>
      <name val="Arial"/>
      <family val="2"/>
    </font>
    <font>
      <sz val="12"/>
      <color indexed="8"/>
      <name val="Times New Roman"/>
      <family val="2"/>
    </font>
    <font>
      <b/>
      <sz val="9"/>
      <name val="Tahoma"/>
      <family val="2"/>
    </font>
    <font>
      <sz val="9"/>
      <name val="Tahom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sz val="11"/>
      <color indexed="8"/>
      <name val="Calibri"/>
      <family val="2"/>
    </font>
    <font>
      <sz val="11"/>
      <color indexed="10"/>
      <name val="Times New Roman"/>
      <family val="2"/>
    </font>
    <font>
      <b/>
      <sz val="11"/>
      <color indexed="63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8"/>
      <color indexed="56"/>
      <name val="Cambria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sz val="11"/>
      <color theme="1"/>
      <name val="Times New Roman"/>
      <family val="2"/>
    </font>
    <font>
      <b/>
      <sz val="11"/>
      <color theme="3"/>
      <name val="Times New Roman"/>
      <family val="2"/>
    </font>
    <font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sz val="11"/>
      <color theme="1"/>
      <name val="Calibri"/>
      <family val="2"/>
    </font>
    <font>
      <sz val="11"/>
      <color rgb="FFFF0000"/>
      <name val="Times New Roman"/>
      <family val="2"/>
    </font>
    <font>
      <b/>
      <sz val="11"/>
      <color rgb="FF3F3F3F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8"/>
      <color theme="3"/>
      <name val="Cambria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21" borderId="4" applyNumberFormat="0" applyAlignment="0" applyProtection="0"/>
    <xf numFmtId="0" fontId="55" fillId="22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6" applyNumberFormat="0" applyFon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31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32" borderId="11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9" fillId="0" borderId="10" xfId="50" applyFont="1" applyBorder="1" applyAlignment="1">
      <alignment horizontal="center" vertical="center" wrapText="1"/>
      <protection/>
    </xf>
    <xf numFmtId="0" fontId="9" fillId="0" borderId="10" xfId="50" applyFont="1" applyBorder="1" applyAlignment="1">
      <alignment vertical="center" wrapText="1"/>
      <protection/>
    </xf>
    <xf numFmtId="0" fontId="19" fillId="0" borderId="10" xfId="50" applyFont="1" applyBorder="1" applyAlignment="1">
      <alignment vertical="center"/>
      <protection/>
    </xf>
    <xf numFmtId="0" fontId="10" fillId="0" borderId="10" xfId="50" applyFont="1" applyBorder="1" applyAlignment="1">
      <alignment vertical="center" wrapText="1"/>
      <protection/>
    </xf>
    <xf numFmtId="0" fontId="18" fillId="0" borderId="10" xfId="50" applyFont="1" applyBorder="1" applyAlignment="1">
      <alignment vertical="center"/>
      <protection/>
    </xf>
    <xf numFmtId="0" fontId="17" fillId="0" borderId="0" xfId="50" applyFont="1" applyAlignment="1">
      <alignment vertical="center"/>
      <protection/>
    </xf>
    <xf numFmtId="0" fontId="8" fillId="0" borderId="0" xfId="50" applyAlignment="1">
      <alignment vertical="center"/>
      <protection/>
    </xf>
    <xf numFmtId="0" fontId="11" fillId="0" borderId="0" xfId="50" applyFont="1" applyAlignment="1">
      <alignment horizontal="center" vertical="center" wrapText="1"/>
      <protection/>
    </xf>
    <xf numFmtId="0" fontId="10" fillId="0" borderId="0" xfId="50" applyFont="1" applyAlignment="1">
      <alignment horizontal="left" vertical="center"/>
      <protection/>
    </xf>
    <xf numFmtId="0" fontId="11" fillId="0" borderId="0" xfId="50" applyFont="1" applyAlignment="1">
      <alignment vertical="center"/>
      <protection/>
    </xf>
    <xf numFmtId="0" fontId="10" fillId="0" borderId="0" xfId="50" applyFont="1" applyAlignment="1">
      <alignment vertical="center"/>
      <protection/>
    </xf>
    <xf numFmtId="0" fontId="8" fillId="0" borderId="0" xfId="50">
      <alignment/>
      <protection/>
    </xf>
    <xf numFmtId="0" fontId="9" fillId="0" borderId="10" xfId="50" applyFont="1" applyBorder="1" applyAlignment="1">
      <alignment vertical="center"/>
      <protection/>
    </xf>
    <xf numFmtId="0" fontId="9" fillId="0" borderId="10" xfId="50" applyFont="1" applyBorder="1" applyAlignment="1">
      <alignment horizontal="center" vertical="center"/>
      <protection/>
    </xf>
    <xf numFmtId="0" fontId="10" fillId="0" borderId="10" xfId="50" applyFont="1" applyBorder="1" applyAlignment="1">
      <alignment horizontal="left" vertical="center"/>
      <protection/>
    </xf>
    <xf numFmtId="0" fontId="10" fillId="0" borderId="10" xfId="50" applyFont="1" applyBorder="1" applyAlignment="1">
      <alignment horizontal="center" vertical="center"/>
      <protection/>
    </xf>
    <xf numFmtId="0" fontId="10" fillId="0" borderId="10" xfId="50" applyFont="1" applyBorder="1" applyAlignment="1">
      <alignment vertical="center"/>
      <protection/>
    </xf>
    <xf numFmtId="0" fontId="9" fillId="0" borderId="10" xfId="50" applyFont="1" applyBorder="1" applyAlignment="1">
      <alignment horizontal="left" vertical="center"/>
      <protection/>
    </xf>
    <xf numFmtId="0" fontId="19" fillId="0" borderId="10" xfId="50" applyFont="1" applyBorder="1" applyAlignment="1">
      <alignment horizontal="center" vertical="center"/>
      <protection/>
    </xf>
    <xf numFmtId="0" fontId="18" fillId="0" borderId="10" xfId="50" applyFont="1" applyBorder="1" applyAlignment="1">
      <alignment horizontal="center" vertical="center"/>
      <protection/>
    </xf>
    <xf numFmtId="0" fontId="1" fillId="0" borderId="0" xfId="50" applyFont="1" applyAlignment="1">
      <alignment vertical="center" wrapText="1"/>
      <protection/>
    </xf>
    <xf numFmtId="2" fontId="1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2" fontId="9" fillId="0" borderId="10" xfId="50" applyNumberFormat="1" applyFont="1" applyBorder="1" applyAlignment="1">
      <alignment vertical="center"/>
      <protection/>
    </xf>
    <xf numFmtId="0" fontId="9" fillId="0" borderId="0" xfId="50" applyFont="1" applyAlignment="1">
      <alignment horizontal="center" vertical="center" wrapText="1"/>
      <protection/>
    </xf>
    <xf numFmtId="2" fontId="0" fillId="0" borderId="0" xfId="0" applyNumberFormat="1" applyAlignment="1">
      <alignment/>
    </xf>
    <xf numFmtId="2" fontId="19" fillId="0" borderId="10" xfId="50" applyNumberFormat="1" applyFont="1" applyBorder="1" applyAlignment="1">
      <alignment vertical="center"/>
      <protection/>
    </xf>
    <xf numFmtId="0" fontId="10" fillId="0" borderId="0" xfId="50" applyFont="1" applyAlignment="1">
      <alignment horizontal="left" vertical="center" wrapText="1"/>
      <protection/>
    </xf>
    <xf numFmtId="0" fontId="18" fillId="0" borderId="0" xfId="50" applyFont="1" applyAlignment="1">
      <alignment vertical="center" wrapText="1"/>
      <protection/>
    </xf>
    <xf numFmtId="0" fontId="18" fillId="0" borderId="0" xfId="50" applyFont="1" applyAlignment="1">
      <alignment horizontal="center" vertical="center"/>
      <protection/>
    </xf>
    <xf numFmtId="0" fontId="18" fillId="0" borderId="0" xfId="50" applyFont="1" applyAlignment="1">
      <alignment vertical="center"/>
      <protection/>
    </xf>
    <xf numFmtId="0" fontId="1" fillId="32" borderId="0" xfId="0" applyFont="1" applyFill="1" applyAlignment="1">
      <alignment vertical="center"/>
    </xf>
    <xf numFmtId="0" fontId="1" fillId="32" borderId="0" xfId="0" applyFont="1" applyFill="1" applyAlignment="1">
      <alignment vertical="center" wrapText="1"/>
    </xf>
    <xf numFmtId="0" fontId="4" fillId="32" borderId="0" xfId="0" applyFont="1" applyFill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49" fontId="4" fillId="32" borderId="12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left" vertical="center"/>
    </xf>
    <xf numFmtId="0" fontId="7" fillId="32" borderId="13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left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 wrapText="1"/>
    </xf>
    <xf numFmtId="0" fontId="1" fillId="32" borderId="15" xfId="0" applyFont="1" applyFill="1" applyBorder="1" applyAlignment="1">
      <alignment horizontal="left" vertical="center"/>
    </xf>
    <xf numFmtId="0" fontId="1" fillId="32" borderId="16" xfId="0" applyFont="1" applyFill="1" applyBorder="1" applyAlignment="1">
      <alignment horizontal="left" vertical="center"/>
    </xf>
    <xf numFmtId="0" fontId="1" fillId="32" borderId="16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left" vertical="center" wrapText="1"/>
    </xf>
    <xf numFmtId="0" fontId="4" fillId="32" borderId="16" xfId="0" applyFont="1" applyFill="1" applyBorder="1" applyAlignment="1">
      <alignment horizontal="left" vertical="center"/>
    </xf>
    <xf numFmtId="0" fontId="7" fillId="32" borderId="12" xfId="0" applyFont="1" applyFill="1" applyBorder="1" applyAlignment="1">
      <alignment horizontal="left" vertical="center"/>
    </xf>
    <xf numFmtId="2" fontId="1" fillId="32" borderId="0" xfId="0" applyNumberFormat="1" applyFont="1" applyFill="1" applyAlignment="1">
      <alignment vertical="center" wrapText="1"/>
    </xf>
    <xf numFmtId="0" fontId="4" fillId="32" borderId="15" xfId="0" applyFont="1" applyFill="1" applyBorder="1" applyAlignment="1">
      <alignment horizontal="left" vertical="center"/>
    </xf>
    <xf numFmtId="0" fontId="4" fillId="32" borderId="16" xfId="0" applyFont="1" applyFill="1" applyBorder="1" applyAlignment="1">
      <alignment horizontal="left" vertical="center" wrapText="1"/>
    </xf>
    <xf numFmtId="0" fontId="13" fillId="0" borderId="0" xfId="50" applyFont="1" applyAlignment="1">
      <alignment vertical="center"/>
      <protection/>
    </xf>
    <xf numFmtId="0" fontId="19" fillId="0" borderId="0" xfId="50" applyFont="1" applyBorder="1" applyAlignment="1">
      <alignment vertical="center"/>
      <protection/>
    </xf>
    <xf numFmtId="0" fontId="0" fillId="0" borderId="0" xfId="0" applyBorder="1" applyAlignment="1">
      <alignment/>
    </xf>
    <xf numFmtId="0" fontId="1" fillId="0" borderId="10" xfId="50" applyFont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vertical="center"/>
    </xf>
    <xf numFmtId="0" fontId="1" fillId="32" borderId="0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/>
    </xf>
    <xf numFmtId="0" fontId="4" fillId="32" borderId="12" xfId="0" applyFont="1" applyFill="1" applyBorder="1" applyAlignment="1">
      <alignment horizontal="left" vertical="center"/>
    </xf>
    <xf numFmtId="0" fontId="2" fillId="32" borderId="12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left" vertical="center"/>
    </xf>
    <xf numFmtId="16" fontId="2" fillId="32" borderId="11" xfId="0" applyNumberFormat="1" applyFont="1" applyFill="1" applyBorder="1" applyAlignment="1">
      <alignment horizontal="center" vertical="center" wrapText="1"/>
    </xf>
    <xf numFmtId="16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1" fillId="32" borderId="12" xfId="0" applyNumberFormat="1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16" fontId="2" fillId="0" borderId="10" xfId="0" applyNumberFormat="1" applyFont="1" applyFill="1" applyBorder="1" applyAlignment="1" quotePrefix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16" fontId="2" fillId="0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 quotePrefix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 wrapText="1"/>
    </xf>
    <xf numFmtId="16" fontId="2" fillId="32" borderId="10" xfId="0" applyNumberFormat="1" applyFont="1" applyFill="1" applyBorder="1" applyAlignment="1" quotePrefix="1">
      <alignment horizontal="center" vertical="center" wrapText="1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/>
    </xf>
    <xf numFmtId="0" fontId="2" fillId="32" borderId="14" xfId="0" applyFont="1" applyFill="1" applyBorder="1" applyAlignment="1" quotePrefix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4" fillId="32" borderId="18" xfId="0" applyFont="1" applyFill="1" applyBorder="1" applyAlignment="1">
      <alignment horizontal="left" vertical="center"/>
    </xf>
    <xf numFmtId="0" fontId="4" fillId="32" borderId="19" xfId="0" applyFont="1" applyFill="1" applyBorder="1" applyAlignment="1">
      <alignment horizontal="left" vertical="center"/>
    </xf>
    <xf numFmtId="0" fontId="4" fillId="32" borderId="1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center" vertical="center" wrapText="1"/>
    </xf>
    <xf numFmtId="2" fontId="4" fillId="0" borderId="18" xfId="0" applyNumberFormat="1" applyFont="1" applyBorder="1" applyAlignment="1">
      <alignment vertical="center" wrapText="1"/>
    </xf>
    <xf numFmtId="0" fontId="1" fillId="32" borderId="20" xfId="0" applyFont="1" applyFill="1" applyBorder="1" applyAlignment="1">
      <alignment horizontal="left" vertical="center" wrapText="1"/>
    </xf>
    <xf numFmtId="0" fontId="2" fillId="32" borderId="17" xfId="0" applyFont="1" applyFill="1" applyBorder="1" applyAlignment="1">
      <alignment horizontal="center" vertical="center" wrapText="1"/>
    </xf>
    <xf numFmtId="2" fontId="4" fillId="0" borderId="17" xfId="0" applyNumberFormat="1" applyFont="1" applyBorder="1" applyAlignment="1">
      <alignment vertical="center" wrapText="1"/>
    </xf>
    <xf numFmtId="2" fontId="4" fillId="0" borderId="20" xfId="0" applyNumberFormat="1" applyFont="1" applyBorder="1" applyAlignment="1">
      <alignment vertical="center" wrapText="1"/>
    </xf>
    <xf numFmtId="2" fontId="1" fillId="32" borderId="0" xfId="0" applyNumberFormat="1" applyFont="1" applyFill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1" fillId="32" borderId="0" xfId="0" applyFont="1" applyFill="1" applyAlignment="1">
      <alignment horizontal="left" vertical="center" wrapText="1"/>
    </xf>
    <xf numFmtId="0" fontId="11" fillId="32" borderId="0" xfId="0" applyFont="1" applyFill="1" applyAlignment="1">
      <alignment horizontal="center"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1" fillId="32" borderId="12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0" fillId="32" borderId="0" xfId="0" applyFill="1" applyAlignment="1">
      <alignment vertical="center" wrapText="1"/>
    </xf>
    <xf numFmtId="0" fontId="4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32" borderId="0" xfId="0" applyFont="1" applyFill="1" applyAlignment="1">
      <alignment vertical="center" wrapText="1"/>
    </xf>
    <xf numFmtId="0" fontId="2" fillId="32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" fillId="32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2" borderId="0" xfId="0" applyFill="1" applyAlignment="1">
      <alignment horizontal="center" vertical="center" wrapText="1"/>
    </xf>
    <xf numFmtId="0" fontId="10" fillId="0" borderId="0" xfId="50" applyFont="1" applyAlignment="1">
      <alignment horizontal="right" vertical="center"/>
      <protection/>
    </xf>
    <xf numFmtId="0" fontId="0" fillId="0" borderId="0" xfId="0" applyAlignment="1">
      <alignment horizontal="left"/>
    </xf>
    <xf numFmtId="0" fontId="22" fillId="0" borderId="0" xfId="0" applyFont="1" applyAlignment="1">
      <alignment horizontal="right"/>
    </xf>
    <xf numFmtId="0" fontId="13" fillId="0" borderId="0" xfId="50" applyFont="1" applyAlignment="1">
      <alignment horizontal="left" vertical="center"/>
      <protection/>
    </xf>
    <xf numFmtId="0" fontId="17" fillId="0" borderId="0" xfId="50" applyFont="1" applyAlignment="1">
      <alignment horizontal="left" vertical="center"/>
      <protection/>
    </xf>
    <xf numFmtId="0" fontId="13" fillId="0" borderId="0" xfId="50" applyFont="1" applyAlignment="1">
      <alignment horizontal="center" vertical="center"/>
      <protection/>
    </xf>
    <xf numFmtId="0" fontId="8" fillId="0" borderId="0" xfId="50" applyAlignment="1">
      <alignment vertical="center"/>
      <protection/>
    </xf>
    <xf numFmtId="0" fontId="11" fillId="0" borderId="0" xfId="50" applyFont="1" applyAlignment="1">
      <alignment horizontal="center" vertical="center" wrapText="1"/>
      <protection/>
    </xf>
    <xf numFmtId="0" fontId="17" fillId="0" borderId="0" xfId="50" applyFont="1" applyAlignment="1">
      <alignment vertical="center"/>
      <protection/>
    </xf>
    <xf numFmtId="0" fontId="9" fillId="0" borderId="10" xfId="50" applyFont="1" applyBorder="1" applyAlignment="1">
      <alignment horizontal="center" vertical="center" wrapText="1"/>
      <protection/>
    </xf>
    <xf numFmtId="0" fontId="18" fillId="0" borderId="10" xfId="50" applyFont="1" applyBorder="1" applyAlignment="1">
      <alignment vertical="center" wrapText="1"/>
      <protection/>
    </xf>
    <xf numFmtId="0" fontId="9" fillId="0" borderId="10" xfId="50" applyFont="1" applyBorder="1" applyAlignment="1">
      <alignment vertical="center" wrapText="1"/>
      <protection/>
    </xf>
    <xf numFmtId="0" fontId="19" fillId="0" borderId="10" xfId="50" applyFont="1" applyBorder="1" applyAlignment="1">
      <alignment vertical="center"/>
      <protection/>
    </xf>
    <xf numFmtId="0" fontId="13" fillId="0" borderId="0" xfId="50" applyFont="1" applyAlignment="1">
      <alignment horizontal="justify" vertical="center"/>
      <protection/>
    </xf>
    <xf numFmtId="0" fontId="10" fillId="0" borderId="10" xfId="50" applyFont="1" applyBorder="1" applyAlignment="1">
      <alignment horizontal="left" vertical="center" wrapText="1"/>
      <protection/>
    </xf>
    <xf numFmtId="0" fontId="14" fillId="0" borderId="0" xfId="50" applyFont="1" applyAlignment="1">
      <alignment horizontal="right" vertical="center"/>
      <protection/>
    </xf>
    <xf numFmtId="0" fontId="20" fillId="0" borderId="0" xfId="50" applyFont="1" applyAlignment="1">
      <alignment horizontal="center" vertical="center"/>
      <protection/>
    </xf>
    <xf numFmtId="0" fontId="21" fillId="0" borderId="0" xfId="50" applyFont="1" applyAlignment="1">
      <alignment vertical="center"/>
      <protection/>
    </xf>
    <xf numFmtId="0" fontId="9" fillId="0" borderId="12" xfId="50" applyFont="1" applyBorder="1" applyAlignment="1">
      <alignment horizontal="left" vertical="center"/>
      <protection/>
    </xf>
    <xf numFmtId="0" fontId="19" fillId="0" borderId="11" xfId="50" applyFont="1" applyBorder="1" applyAlignment="1">
      <alignment vertical="center"/>
      <protection/>
    </xf>
    <xf numFmtId="0" fontId="19" fillId="0" borderId="14" xfId="50" applyFont="1" applyBorder="1" applyAlignment="1">
      <alignment vertical="center"/>
      <protection/>
    </xf>
    <xf numFmtId="0" fontId="10" fillId="0" borderId="10" xfId="50" applyFont="1" applyBorder="1" applyAlignment="1">
      <alignment vertical="center" wrapText="1"/>
      <protection/>
    </xf>
    <xf numFmtId="0" fontId="18" fillId="0" borderId="10" xfId="50" applyFont="1" applyBorder="1" applyAlignment="1">
      <alignment vertical="center"/>
      <protection/>
    </xf>
    <xf numFmtId="0" fontId="10" fillId="0" borderId="0" xfId="50" applyFont="1" applyAlignment="1">
      <alignment horizontal="left" vertical="center"/>
      <protection/>
    </xf>
    <xf numFmtId="0" fontId="10" fillId="0" borderId="0" xfId="50" applyFont="1" applyAlignment="1">
      <alignment horizontal="center" vertical="center"/>
      <protection/>
    </xf>
    <xf numFmtId="0" fontId="9" fillId="0" borderId="12" xfId="50" applyFont="1" applyBorder="1" applyAlignment="1">
      <alignment vertical="center" wrapText="1"/>
      <protection/>
    </xf>
    <xf numFmtId="0" fontId="19" fillId="0" borderId="11" xfId="50" applyFont="1" applyBorder="1" applyAlignment="1">
      <alignment vertical="center" wrapText="1"/>
      <protection/>
    </xf>
    <xf numFmtId="0" fontId="19" fillId="0" borderId="14" xfId="50" applyFont="1" applyBorder="1" applyAlignment="1">
      <alignment vertical="center" wrapText="1"/>
      <protection/>
    </xf>
    <xf numFmtId="0" fontId="9" fillId="0" borderId="12" xfId="50" applyFont="1" applyBorder="1" applyAlignment="1">
      <alignment horizontal="left" vertical="center" wrapText="1"/>
      <protection/>
    </xf>
    <xf numFmtId="0" fontId="10" fillId="0" borderId="12" xfId="50" applyFont="1" applyBorder="1" applyAlignment="1">
      <alignment horizontal="left" vertical="center" wrapText="1"/>
      <protection/>
    </xf>
    <xf numFmtId="0" fontId="18" fillId="0" borderId="11" xfId="50" applyFont="1" applyBorder="1" applyAlignment="1">
      <alignment vertical="center" wrapText="1"/>
      <protection/>
    </xf>
    <xf numFmtId="0" fontId="18" fillId="0" borderId="14" xfId="50" applyFont="1" applyBorder="1" applyAlignment="1">
      <alignment vertical="center" wrapText="1"/>
      <protection/>
    </xf>
    <xf numFmtId="0" fontId="9" fillId="0" borderId="12" xfId="50" applyFont="1" applyBorder="1" applyAlignment="1">
      <alignment vertical="center"/>
      <protection/>
    </xf>
    <xf numFmtId="0" fontId="10" fillId="0" borderId="12" xfId="50" applyFont="1" applyBorder="1" applyAlignment="1">
      <alignment horizontal="left" vertical="center"/>
      <protection/>
    </xf>
    <xf numFmtId="0" fontId="18" fillId="0" borderId="11" xfId="50" applyFont="1" applyBorder="1" applyAlignment="1">
      <alignment vertical="center"/>
      <protection/>
    </xf>
    <xf numFmtId="0" fontId="18" fillId="0" borderId="14" xfId="50" applyFont="1" applyBorder="1" applyAlignment="1">
      <alignment vertical="center"/>
      <protection/>
    </xf>
    <xf numFmtId="0" fontId="9" fillId="0" borderId="0" xfId="50" applyFont="1" applyAlignment="1">
      <alignment horizontal="center" vertical="center"/>
      <protection/>
    </xf>
    <xf numFmtId="0" fontId="12" fillId="0" borderId="0" xfId="50" applyFont="1" applyAlignment="1">
      <alignment horizontal="center" vertical="center"/>
      <protection/>
    </xf>
    <xf numFmtId="0" fontId="15" fillId="0" borderId="0" xfId="50" applyFont="1" applyAlignment="1">
      <alignment horizontal="left" vertical="center"/>
      <protection/>
    </xf>
    <xf numFmtId="0" fontId="5" fillId="0" borderId="0" xfId="50" applyFont="1" applyAlignment="1">
      <alignment horizontal="left" vertical="center"/>
      <protection/>
    </xf>
  </cellXfs>
  <cellStyles count="53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Normal_17 VSAFAS_lyginamasis_4-19_priedai_2009-09-10" xfId="49"/>
    <cellStyle name="Normal_Sheet1_2010 12 31 VSAFAS atskaitomybė Sportas" xfId="50"/>
    <cellStyle name="Paprastas_2017VSAKIS" xfId="51"/>
    <cellStyle name="Paryškinimas 1" xfId="52"/>
    <cellStyle name="Paryškinimas 2" xfId="53"/>
    <cellStyle name="Paryškinimas 3" xfId="54"/>
    <cellStyle name="Paryškinimas 4" xfId="55"/>
    <cellStyle name="Paryškinimas 5" xfId="56"/>
    <cellStyle name="Paryškinimas 6" xfId="57"/>
    <cellStyle name="Pastaba" xfId="58"/>
    <cellStyle name="Pavadinimas" xfId="59"/>
    <cellStyle name="Percent" xfId="60"/>
    <cellStyle name="Skaičiavimas" xfId="61"/>
    <cellStyle name="Suma" xfId="62"/>
    <cellStyle name="Susietas langelis" xfId="63"/>
    <cellStyle name="Tikrinimo langelis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zoomScalePageLayoutView="0" workbookViewId="0" topLeftCell="A1">
      <selection activeCell="O87" sqref="O87"/>
    </sheetView>
  </sheetViews>
  <sheetFormatPr defaultColWidth="9.140625" defaultRowHeight="15"/>
  <cols>
    <col min="1" max="1" width="10.57421875" style="39" customWidth="1"/>
    <col min="2" max="2" width="3.140625" style="40" customWidth="1"/>
    <col min="3" max="3" width="2.7109375" style="40" customWidth="1"/>
    <col min="4" max="4" width="59.00390625" style="40" customWidth="1"/>
    <col min="5" max="5" width="7.7109375" style="75" customWidth="1"/>
    <col min="6" max="6" width="11.8515625" style="39" customWidth="1"/>
    <col min="7" max="7" width="12.8515625" style="39" customWidth="1"/>
    <col min="8" max="8" width="11.140625" style="39" hidden="1" customWidth="1"/>
    <col min="9" max="9" width="10.7109375" style="39" customWidth="1"/>
    <col min="10" max="10" width="9.140625" style="39" hidden="1" customWidth="1"/>
    <col min="11" max="16384" width="9.140625" style="39" customWidth="1"/>
  </cols>
  <sheetData>
    <row r="1" spans="1:7" ht="12.75">
      <c r="A1" s="74"/>
      <c r="B1" s="75"/>
      <c r="C1" s="75"/>
      <c r="D1" s="75"/>
      <c r="E1" s="76"/>
      <c r="F1" s="74"/>
      <c r="G1" s="74"/>
    </row>
    <row r="2" spans="5:7" ht="12.75">
      <c r="E2" s="176" t="s">
        <v>0</v>
      </c>
      <c r="F2" s="177"/>
      <c r="G2" s="177"/>
    </row>
    <row r="3" spans="5:7" ht="12.75">
      <c r="E3" s="178" t="s">
        <v>1</v>
      </c>
      <c r="F3" s="179"/>
      <c r="G3" s="179"/>
    </row>
    <row r="5" spans="1:7" ht="12.75">
      <c r="A5" s="170" t="s">
        <v>200</v>
      </c>
      <c r="B5" s="171"/>
      <c r="C5" s="171"/>
      <c r="D5" s="171"/>
      <c r="E5" s="171"/>
      <c r="F5" s="169"/>
      <c r="G5" s="169"/>
    </row>
    <row r="6" spans="1:7" ht="12.75">
      <c r="A6" s="180"/>
      <c r="B6" s="180"/>
      <c r="C6" s="180"/>
      <c r="D6" s="180"/>
      <c r="E6" s="180"/>
      <c r="F6" s="180"/>
      <c r="G6" s="180"/>
    </row>
    <row r="7" spans="1:7" ht="15">
      <c r="A7" s="150" t="s">
        <v>204</v>
      </c>
      <c r="B7" s="181"/>
      <c r="C7" s="181"/>
      <c r="D7" s="181"/>
      <c r="E7" s="181"/>
      <c r="F7" s="169"/>
      <c r="G7" s="169"/>
    </row>
    <row r="8" spans="1:7" ht="15">
      <c r="A8" s="150" t="s">
        <v>205</v>
      </c>
      <c r="B8" s="181"/>
      <c r="C8" s="181"/>
      <c r="D8" s="181"/>
      <c r="E8" s="181"/>
      <c r="F8" s="169"/>
      <c r="G8" s="169"/>
    </row>
    <row r="9" spans="1:7" ht="12.75" customHeight="1">
      <c r="A9" s="150" t="s">
        <v>218</v>
      </c>
      <c r="B9" s="181"/>
      <c r="C9" s="181"/>
      <c r="D9" s="181"/>
      <c r="E9" s="181"/>
      <c r="F9" s="169"/>
      <c r="G9" s="169"/>
    </row>
    <row r="10" spans="1:7" ht="12.75">
      <c r="A10" s="146" t="s">
        <v>206</v>
      </c>
      <c r="B10" s="166"/>
      <c r="C10" s="166"/>
      <c r="D10" s="166"/>
      <c r="E10" s="166"/>
      <c r="F10" s="167"/>
      <c r="G10" s="167"/>
    </row>
    <row r="11" spans="1:7" ht="12.75">
      <c r="A11" s="167"/>
      <c r="B11" s="167"/>
      <c r="C11" s="167"/>
      <c r="D11" s="167"/>
      <c r="E11" s="167"/>
      <c r="F11" s="167"/>
      <c r="G11" s="167"/>
    </row>
    <row r="12" spans="1:5" ht="15">
      <c r="A12" s="168"/>
      <c r="B12" s="169"/>
      <c r="C12" s="169"/>
      <c r="D12" s="169"/>
      <c r="E12" s="169"/>
    </row>
    <row r="13" spans="1:7" ht="12.75">
      <c r="A13" s="170" t="s">
        <v>2</v>
      </c>
      <c r="B13" s="171"/>
      <c r="C13" s="171"/>
      <c r="D13" s="171"/>
      <c r="E13" s="171"/>
      <c r="F13" s="172"/>
      <c r="G13" s="172"/>
    </row>
    <row r="14" spans="1:7" ht="12.75">
      <c r="A14" s="170" t="s">
        <v>220</v>
      </c>
      <c r="B14" s="171"/>
      <c r="C14" s="171"/>
      <c r="D14" s="171"/>
      <c r="E14" s="171"/>
      <c r="F14" s="172"/>
      <c r="G14" s="172"/>
    </row>
    <row r="15" spans="1:7" ht="12.75">
      <c r="A15" s="41"/>
      <c r="B15" s="43"/>
      <c r="C15" s="43"/>
      <c r="D15" s="43"/>
      <c r="E15" s="43"/>
      <c r="F15" s="44"/>
      <c r="G15" s="44"/>
    </row>
    <row r="16" spans="1:7" ht="12.75">
      <c r="A16" s="146" t="s">
        <v>222</v>
      </c>
      <c r="B16" s="173"/>
      <c r="C16" s="173"/>
      <c r="D16" s="173"/>
      <c r="E16" s="173"/>
      <c r="F16" s="174"/>
      <c r="G16" s="174"/>
    </row>
    <row r="17" spans="1:7" ht="12.75">
      <c r="A17" s="150" t="s">
        <v>3</v>
      </c>
      <c r="B17" s="150"/>
      <c r="C17" s="150"/>
      <c r="D17" s="150"/>
      <c r="E17" s="150"/>
      <c r="F17" s="175"/>
      <c r="G17" s="175"/>
    </row>
    <row r="18" spans="1:7" ht="12.75" customHeight="1">
      <c r="A18" s="41"/>
      <c r="B18" s="42"/>
      <c r="C18" s="42"/>
      <c r="D18" s="155" t="s">
        <v>207</v>
      </c>
      <c r="E18" s="155"/>
      <c r="F18" s="155"/>
      <c r="G18" s="155"/>
    </row>
    <row r="19" spans="1:7" ht="67.5" customHeight="1">
      <c r="A19" s="77" t="s">
        <v>4</v>
      </c>
      <c r="B19" s="156" t="s">
        <v>5</v>
      </c>
      <c r="C19" s="157"/>
      <c r="D19" s="158"/>
      <c r="E19" s="46" t="s">
        <v>6</v>
      </c>
      <c r="F19" s="45" t="s">
        <v>7</v>
      </c>
      <c r="G19" s="45" t="s">
        <v>8</v>
      </c>
    </row>
    <row r="20" spans="1:7" s="40" customFormat="1" ht="12.75" customHeight="1">
      <c r="A20" s="45" t="s">
        <v>9</v>
      </c>
      <c r="B20" s="78" t="s">
        <v>10</v>
      </c>
      <c r="C20" s="79"/>
      <c r="D20" s="71"/>
      <c r="E20" s="80"/>
      <c r="F20" s="29">
        <f>F21+F27+F38+F39</f>
        <v>1399415.67</v>
      </c>
      <c r="G20" s="29">
        <f>G21+G27+G38+G39</f>
        <v>1410895.1700000002</v>
      </c>
    </row>
    <row r="21" spans="1:7" s="40" customFormat="1" ht="12.75" customHeight="1">
      <c r="A21" s="48" t="s">
        <v>11</v>
      </c>
      <c r="B21" s="81" t="s">
        <v>12</v>
      </c>
      <c r="C21" s="49"/>
      <c r="D21" s="50"/>
      <c r="E21" s="80"/>
      <c r="F21" s="3">
        <f>F22+F23+F24+F25</f>
        <v>0</v>
      </c>
      <c r="G21" s="3">
        <f>G22+G23+G24+G25</f>
        <v>0</v>
      </c>
    </row>
    <row r="22" spans="1:7" s="40" customFormat="1" ht="12.75" customHeight="1">
      <c r="A22" s="52" t="s">
        <v>13</v>
      </c>
      <c r="B22" s="53"/>
      <c r="C22" s="54" t="s">
        <v>14</v>
      </c>
      <c r="D22" s="55"/>
      <c r="E22" s="82"/>
      <c r="F22" s="3"/>
      <c r="G22" s="3"/>
    </row>
    <row r="23" spans="1:7" s="40" customFormat="1" ht="12.75" customHeight="1">
      <c r="A23" s="52" t="s">
        <v>15</v>
      </c>
      <c r="B23" s="53"/>
      <c r="C23" s="54" t="s">
        <v>16</v>
      </c>
      <c r="D23" s="51"/>
      <c r="E23" s="83"/>
      <c r="F23" s="6">
        <f>ROUND((0),0)</f>
        <v>0</v>
      </c>
      <c r="G23" s="6">
        <f>ROUND((0),0)</f>
        <v>0</v>
      </c>
    </row>
    <row r="24" spans="1:7" s="40" customFormat="1" ht="12.75" customHeight="1">
      <c r="A24" s="52" t="s">
        <v>17</v>
      </c>
      <c r="B24" s="53"/>
      <c r="C24" s="54" t="s">
        <v>18</v>
      </c>
      <c r="D24" s="51"/>
      <c r="E24" s="83"/>
      <c r="F24" s="3"/>
      <c r="G24" s="3"/>
    </row>
    <row r="25" spans="1:7" s="40" customFormat="1" ht="12.75" customHeight="1">
      <c r="A25" s="52" t="s">
        <v>19</v>
      </c>
      <c r="B25" s="53"/>
      <c r="C25" s="54" t="s">
        <v>208</v>
      </c>
      <c r="D25" s="51"/>
      <c r="E25" s="84"/>
      <c r="F25" s="3"/>
      <c r="G25" s="3"/>
    </row>
    <row r="26" spans="1:7" s="40" customFormat="1" ht="12.75" customHeight="1">
      <c r="A26" s="85" t="s">
        <v>53</v>
      </c>
      <c r="B26" s="53"/>
      <c r="C26" s="2" t="s">
        <v>189</v>
      </c>
      <c r="D26" s="55"/>
      <c r="E26" s="84"/>
      <c r="F26" s="3"/>
      <c r="G26" s="3"/>
    </row>
    <row r="27" spans="1:7" s="40" customFormat="1" ht="12.75" customHeight="1">
      <c r="A27" s="86" t="s">
        <v>20</v>
      </c>
      <c r="B27" s="56" t="s">
        <v>21</v>
      </c>
      <c r="C27" s="57"/>
      <c r="D27" s="58"/>
      <c r="E27" s="84"/>
      <c r="F27" s="28">
        <f>F28+F29+F30+F31+F32+F33+F34+F35+F36+F37</f>
        <v>1399415.67</v>
      </c>
      <c r="G27" s="28">
        <f>G28+G29+G30+G31+G32+G33+G34+G35+G36+G37</f>
        <v>1410895.1700000002</v>
      </c>
    </row>
    <row r="28" spans="1:7" s="40" customFormat="1" ht="12.75" customHeight="1">
      <c r="A28" s="52" t="s">
        <v>22</v>
      </c>
      <c r="B28" s="53"/>
      <c r="C28" s="54" t="s">
        <v>23</v>
      </c>
      <c r="D28" s="51"/>
      <c r="E28" s="83"/>
      <c r="F28" s="3"/>
      <c r="G28" s="3"/>
    </row>
    <row r="29" spans="1:7" s="40" customFormat="1" ht="12.75" customHeight="1">
      <c r="A29" s="52" t="s">
        <v>24</v>
      </c>
      <c r="B29" s="53"/>
      <c r="C29" s="54" t="s">
        <v>25</v>
      </c>
      <c r="D29" s="51"/>
      <c r="E29" s="83"/>
      <c r="F29" s="30">
        <f>ROUND((993559.54-108078.06),2)</f>
        <v>885481.48</v>
      </c>
      <c r="G29" s="30">
        <f>ROUND((993559.54-105595.02),2)</f>
        <v>887964.52</v>
      </c>
    </row>
    <row r="30" spans="1:7" s="40" customFormat="1" ht="12.75" customHeight="1">
      <c r="A30" s="52" t="s">
        <v>26</v>
      </c>
      <c r="B30" s="53"/>
      <c r="C30" s="54" t="s">
        <v>27</v>
      </c>
      <c r="D30" s="51"/>
      <c r="E30" s="83"/>
      <c r="F30" s="30">
        <f>ROUND((3000-275+816509.91-327100.24),2)</f>
        <v>492134.67</v>
      </c>
      <c r="G30" s="30">
        <f>ROUND((3000-237.5+816509.91-316893.91),2)</f>
        <v>502378.5</v>
      </c>
    </row>
    <row r="31" spans="1:7" s="40" customFormat="1" ht="12.75" customHeight="1">
      <c r="A31" s="52" t="s">
        <v>28</v>
      </c>
      <c r="B31" s="53"/>
      <c r="C31" s="54" t="s">
        <v>29</v>
      </c>
      <c r="D31" s="51"/>
      <c r="E31" s="83"/>
      <c r="F31" s="30">
        <f>ROUND((0),2)</f>
        <v>0</v>
      </c>
      <c r="G31" s="6"/>
    </row>
    <row r="32" spans="1:7" s="40" customFormat="1" ht="12.75" customHeight="1">
      <c r="A32" s="52" t="s">
        <v>30</v>
      </c>
      <c r="B32" s="53"/>
      <c r="C32" s="54" t="s">
        <v>31</v>
      </c>
      <c r="D32" s="51"/>
      <c r="E32" s="83"/>
      <c r="F32" s="30">
        <f>ROUND((35652.87-17509.54),2)</f>
        <v>18143.33</v>
      </c>
      <c r="G32" s="30">
        <f>ROUND((35652.87-16913.38),2)</f>
        <v>18739.49</v>
      </c>
    </row>
    <row r="33" spans="1:7" s="40" customFormat="1" ht="12.75" customHeight="1">
      <c r="A33" s="52" t="s">
        <v>32</v>
      </c>
      <c r="B33" s="53"/>
      <c r="C33" s="54" t="s">
        <v>33</v>
      </c>
      <c r="D33" s="51"/>
      <c r="E33" s="83"/>
      <c r="F33" s="30">
        <f>ROUND((33673.96-33197.81),2)</f>
        <v>476.15</v>
      </c>
      <c r="G33" s="30">
        <f>ROUND((33673.96-33102.86),2)</f>
        <v>571.1</v>
      </c>
    </row>
    <row r="34" spans="1:7" s="40" customFormat="1" ht="12.75" customHeight="1">
      <c r="A34" s="52" t="s">
        <v>34</v>
      </c>
      <c r="B34" s="53"/>
      <c r="C34" s="54" t="s">
        <v>35</v>
      </c>
      <c r="D34" s="51"/>
      <c r="E34" s="83"/>
      <c r="F34" s="30">
        <f>ROUND((0),2)</f>
        <v>0</v>
      </c>
      <c r="G34" s="6"/>
    </row>
    <row r="35" spans="1:7" s="40" customFormat="1" ht="12.75" customHeight="1">
      <c r="A35" s="52" t="s">
        <v>36</v>
      </c>
      <c r="B35" s="53"/>
      <c r="C35" s="54" t="s">
        <v>37</v>
      </c>
      <c r="D35" s="51"/>
      <c r="E35" s="83"/>
      <c r="F35" s="30">
        <f>ROUND((3402.07-1421.49),2)</f>
        <v>1980.58</v>
      </c>
      <c r="G35" s="30">
        <f>ROUND((1422.07-1421.49),2)</f>
        <v>0.58</v>
      </c>
    </row>
    <row r="36" spans="1:7" s="40" customFormat="1" ht="12.75" customHeight="1">
      <c r="A36" s="52" t="s">
        <v>38</v>
      </c>
      <c r="B36" s="87"/>
      <c r="C36" s="88" t="s">
        <v>39</v>
      </c>
      <c r="D36" s="89"/>
      <c r="E36" s="83"/>
      <c r="F36" s="30">
        <f>ROUND((1995-795.54),2)</f>
        <v>1199.46</v>
      </c>
      <c r="G36" s="30">
        <f>ROUND((1995-754.02),2)</f>
        <v>1240.98</v>
      </c>
    </row>
    <row r="37" spans="1:7" s="40" customFormat="1" ht="12.75" customHeight="1">
      <c r="A37" s="52" t="s">
        <v>40</v>
      </c>
      <c r="B37" s="53"/>
      <c r="C37" s="54" t="s">
        <v>209</v>
      </c>
      <c r="D37" s="51"/>
      <c r="E37" s="84"/>
      <c r="F37" s="6"/>
      <c r="G37" s="6"/>
    </row>
    <row r="38" spans="1:7" s="40" customFormat="1" ht="12.75" customHeight="1">
      <c r="A38" s="48" t="s">
        <v>41</v>
      </c>
      <c r="B38" s="59" t="s">
        <v>42</v>
      </c>
      <c r="C38" s="59"/>
      <c r="D38" s="60"/>
      <c r="E38" s="84"/>
      <c r="F38" s="3"/>
      <c r="G38" s="3"/>
    </row>
    <row r="39" spans="1:7" s="94" customFormat="1" ht="12.75" customHeight="1">
      <c r="A39" s="90" t="s">
        <v>43</v>
      </c>
      <c r="B39" s="91" t="s">
        <v>195</v>
      </c>
      <c r="C39" s="91"/>
      <c r="D39" s="92"/>
      <c r="E39" s="93"/>
      <c r="F39" s="3"/>
      <c r="G39" s="3"/>
    </row>
    <row r="40" spans="1:7" s="40" customFormat="1" ht="12.75" customHeight="1">
      <c r="A40" s="45" t="s">
        <v>44</v>
      </c>
      <c r="B40" s="78" t="s">
        <v>45</v>
      </c>
      <c r="C40" s="79"/>
      <c r="D40" s="71"/>
      <c r="E40" s="83"/>
      <c r="F40" s="3"/>
      <c r="G40" s="3"/>
    </row>
    <row r="41" spans="1:7" s="40" customFormat="1" ht="12.75" customHeight="1">
      <c r="A41" s="77" t="s">
        <v>46</v>
      </c>
      <c r="B41" s="95" t="s">
        <v>47</v>
      </c>
      <c r="C41" s="96"/>
      <c r="D41" s="97"/>
      <c r="E41" s="84"/>
      <c r="F41" s="29">
        <f>F42+F49+F48+F56+F57</f>
        <v>42104.92</v>
      </c>
      <c r="G41" s="29">
        <f>G42+G49+G48+G56+G57</f>
        <v>25607.65</v>
      </c>
    </row>
    <row r="42" spans="1:7" s="40" customFormat="1" ht="12.75" customHeight="1">
      <c r="A42" s="90" t="s">
        <v>11</v>
      </c>
      <c r="B42" s="98" t="s">
        <v>48</v>
      </c>
      <c r="C42" s="99"/>
      <c r="D42" s="100"/>
      <c r="E42" s="84"/>
      <c r="F42" s="3">
        <f>F43+F44+F45+F46+F47</f>
        <v>3476.8</v>
      </c>
      <c r="G42" s="3">
        <f>G43+G44+G45+G46+G47</f>
        <v>3476.8</v>
      </c>
    </row>
    <row r="43" spans="1:7" s="40" customFormat="1" ht="12.75" customHeight="1">
      <c r="A43" s="101" t="s">
        <v>13</v>
      </c>
      <c r="B43" s="87"/>
      <c r="C43" s="88" t="s">
        <v>49</v>
      </c>
      <c r="D43" s="89"/>
      <c r="E43" s="83"/>
      <c r="F43" s="3"/>
      <c r="G43" s="3"/>
    </row>
    <row r="44" spans="1:7" s="40" customFormat="1" ht="12.75" customHeight="1">
      <c r="A44" s="101" t="s">
        <v>15</v>
      </c>
      <c r="B44" s="87"/>
      <c r="C44" s="88" t="s">
        <v>50</v>
      </c>
      <c r="D44" s="89"/>
      <c r="E44" s="83"/>
      <c r="F44" s="30">
        <f>ROUND((3476.8),2)</f>
        <v>3476.8</v>
      </c>
      <c r="G44" s="30">
        <f>ROUND((3476.8),2)</f>
        <v>3476.8</v>
      </c>
    </row>
    <row r="45" spans="1:7" s="40" customFormat="1" ht="12.75">
      <c r="A45" s="101" t="s">
        <v>17</v>
      </c>
      <c r="B45" s="87"/>
      <c r="C45" s="88" t="s">
        <v>51</v>
      </c>
      <c r="D45" s="89"/>
      <c r="E45" s="83"/>
      <c r="F45" s="3"/>
      <c r="G45" s="3"/>
    </row>
    <row r="46" spans="1:7" s="40" customFormat="1" ht="12.75">
      <c r="A46" s="101" t="s">
        <v>19</v>
      </c>
      <c r="B46" s="87"/>
      <c r="C46" s="88" t="s">
        <v>52</v>
      </c>
      <c r="D46" s="89"/>
      <c r="E46" s="83"/>
      <c r="F46" s="3"/>
      <c r="G46" s="3"/>
    </row>
    <row r="47" spans="1:7" s="40" customFormat="1" ht="12.75" customHeight="1">
      <c r="A47" s="101" t="s">
        <v>53</v>
      </c>
      <c r="B47" s="96"/>
      <c r="C47" s="159" t="s">
        <v>54</v>
      </c>
      <c r="D47" s="160"/>
      <c r="E47" s="83"/>
      <c r="F47" s="3"/>
      <c r="G47" s="3"/>
    </row>
    <row r="48" spans="1:7" s="40" customFormat="1" ht="12.75" customHeight="1">
      <c r="A48" s="90" t="s">
        <v>20</v>
      </c>
      <c r="B48" s="102" t="s">
        <v>55</v>
      </c>
      <c r="C48" s="103"/>
      <c r="D48" s="104"/>
      <c r="E48" s="84"/>
      <c r="F48" s="30">
        <f>ROUND((898.69),2)</f>
        <v>898.69</v>
      </c>
      <c r="G48" s="30">
        <f>ROUND((0.47+387.09),2)</f>
        <v>387.56</v>
      </c>
    </row>
    <row r="49" spans="1:8" s="40" customFormat="1" ht="12.75" customHeight="1">
      <c r="A49" s="90" t="s">
        <v>41</v>
      </c>
      <c r="B49" s="98" t="s">
        <v>56</v>
      </c>
      <c r="C49" s="99"/>
      <c r="D49" s="100"/>
      <c r="E49" s="84"/>
      <c r="F49" s="28">
        <f>SUM(F51:F55)</f>
        <v>28591.96</v>
      </c>
      <c r="G49" s="28">
        <f>SUM(G51:G55)</f>
        <v>13462.77</v>
      </c>
      <c r="H49" s="63"/>
    </row>
    <row r="50" spans="1:7" s="40" customFormat="1" ht="12.75" customHeight="1">
      <c r="A50" s="101" t="s">
        <v>57</v>
      </c>
      <c r="B50" s="99"/>
      <c r="C50" s="105" t="s">
        <v>190</v>
      </c>
      <c r="D50" s="106"/>
      <c r="E50" s="84"/>
      <c r="F50" s="3"/>
      <c r="G50" s="3"/>
    </row>
    <row r="51" spans="1:7" s="40" customFormat="1" ht="12.75" customHeight="1">
      <c r="A51" s="107" t="s">
        <v>187</v>
      </c>
      <c r="B51" s="87"/>
      <c r="C51" s="88" t="s">
        <v>58</v>
      </c>
      <c r="D51" s="108"/>
      <c r="E51" s="109"/>
      <c r="F51" s="1"/>
      <c r="G51" s="1"/>
    </row>
    <row r="52" spans="1:7" s="40" customFormat="1" ht="12.75" customHeight="1">
      <c r="A52" s="101" t="s">
        <v>60</v>
      </c>
      <c r="B52" s="87"/>
      <c r="C52" s="88" t="s">
        <v>59</v>
      </c>
      <c r="D52" s="89"/>
      <c r="E52" s="110"/>
      <c r="F52" s="6">
        <f>ROUND((0),2)</f>
        <v>0</v>
      </c>
      <c r="G52" s="6">
        <f>ROUND((0),2)</f>
        <v>0</v>
      </c>
    </row>
    <row r="53" spans="1:8" s="40" customFormat="1" ht="12.75" customHeight="1">
      <c r="A53" s="101" t="s">
        <v>62</v>
      </c>
      <c r="B53" s="87"/>
      <c r="C53" s="159" t="s">
        <v>61</v>
      </c>
      <c r="D53" s="160"/>
      <c r="E53" s="110"/>
      <c r="F53" s="30">
        <f>ROUND((1183.84),2)</f>
        <v>1183.84</v>
      </c>
      <c r="G53" s="30">
        <f>ROUND((52.2+2000.08),2)</f>
        <v>2052.28</v>
      </c>
      <c r="H53" s="143"/>
    </row>
    <row r="54" spans="1:8" s="40" customFormat="1" ht="12.75" customHeight="1">
      <c r="A54" s="101" t="s">
        <v>64</v>
      </c>
      <c r="B54" s="87"/>
      <c r="C54" s="88" t="s">
        <v>63</v>
      </c>
      <c r="D54" s="89"/>
      <c r="E54" s="84"/>
      <c r="F54" s="30">
        <f>ROUND((11604.57+15803.55),2)</f>
        <v>27408.12</v>
      </c>
      <c r="G54" s="30">
        <f>ROUND((183.87+11226.62),2)</f>
        <v>11410.49</v>
      </c>
      <c r="H54" s="63"/>
    </row>
    <row r="55" spans="1:7" s="40" customFormat="1" ht="12.75" customHeight="1">
      <c r="A55" s="101" t="s">
        <v>188</v>
      </c>
      <c r="B55" s="87"/>
      <c r="C55" s="88" t="s">
        <v>65</v>
      </c>
      <c r="D55" s="89"/>
      <c r="E55" s="84"/>
      <c r="F55" s="6">
        <f>ROUND((0),2)</f>
        <v>0</v>
      </c>
      <c r="G55" s="6">
        <f>ROUND((0),2)</f>
        <v>0</v>
      </c>
    </row>
    <row r="56" spans="1:7" s="40" customFormat="1" ht="12.75" customHeight="1">
      <c r="A56" s="90" t="s">
        <v>43</v>
      </c>
      <c r="B56" s="91" t="s">
        <v>66</v>
      </c>
      <c r="C56" s="91"/>
      <c r="D56" s="92"/>
      <c r="E56" s="110"/>
      <c r="F56" s="3"/>
      <c r="G56" s="3"/>
    </row>
    <row r="57" spans="1:7" s="40" customFormat="1" ht="12.75" customHeight="1">
      <c r="A57" s="90" t="s">
        <v>67</v>
      </c>
      <c r="B57" s="91" t="s">
        <v>68</v>
      </c>
      <c r="C57" s="91"/>
      <c r="D57" s="92"/>
      <c r="E57" s="84"/>
      <c r="F57" s="30">
        <f>ROUND((7775.29+1362.18),2)</f>
        <v>9137.47</v>
      </c>
      <c r="G57" s="30">
        <f>ROUND((6918.34+1362.18),2)</f>
        <v>8280.52</v>
      </c>
    </row>
    <row r="58" spans="1:7" s="40" customFormat="1" ht="12.75" customHeight="1">
      <c r="A58" s="48"/>
      <c r="B58" s="64" t="s">
        <v>69</v>
      </c>
      <c r="C58" s="61"/>
      <c r="D58" s="65"/>
      <c r="E58" s="84"/>
      <c r="F58" s="138">
        <f>F20+F40+F41</f>
        <v>1441520.5899999999</v>
      </c>
      <c r="G58" s="138">
        <f>G20+G40+G41</f>
        <v>1436502.82</v>
      </c>
    </row>
    <row r="59" spans="1:7" s="40" customFormat="1" ht="12.75" customHeight="1">
      <c r="A59" s="45" t="s">
        <v>70</v>
      </c>
      <c r="B59" s="78" t="s">
        <v>71</v>
      </c>
      <c r="C59" s="78"/>
      <c r="D59" s="111"/>
      <c r="E59" s="84"/>
      <c r="F59" s="29">
        <f>F60+F61+F62+F63</f>
        <v>1401864.4600000002</v>
      </c>
      <c r="G59" s="29">
        <f>G60+G61+G62+G63</f>
        <v>1413298.93</v>
      </c>
    </row>
    <row r="60" spans="1:7" s="40" customFormat="1" ht="12.75" customHeight="1">
      <c r="A60" s="48" t="s">
        <v>11</v>
      </c>
      <c r="B60" s="59" t="s">
        <v>72</v>
      </c>
      <c r="C60" s="59"/>
      <c r="D60" s="60"/>
      <c r="E60" s="84"/>
      <c r="F60" s="30">
        <f>ROUND((1109243.28),2)</f>
        <v>1109243.28</v>
      </c>
      <c r="G60" s="30">
        <f>ROUND((1120144.2),2)</f>
        <v>1120144.2</v>
      </c>
    </row>
    <row r="61" spans="1:7" s="40" customFormat="1" ht="12.75" customHeight="1">
      <c r="A61" s="86" t="s">
        <v>20</v>
      </c>
      <c r="B61" s="56" t="s">
        <v>73</v>
      </c>
      <c r="C61" s="57"/>
      <c r="D61" s="58"/>
      <c r="E61" s="112"/>
      <c r="F61" s="30">
        <f>ROUND((217169.57),2)</f>
        <v>217169.57</v>
      </c>
      <c r="G61" s="30">
        <f>ROUND((216731.42),2)</f>
        <v>216731.42</v>
      </c>
    </row>
    <row r="62" spans="1:7" s="40" customFormat="1" ht="12.75" customHeight="1">
      <c r="A62" s="48" t="s">
        <v>41</v>
      </c>
      <c r="B62" s="161" t="s">
        <v>74</v>
      </c>
      <c r="C62" s="162"/>
      <c r="D62" s="163"/>
      <c r="E62" s="84"/>
      <c r="F62" s="30">
        <f>ROUND((73593.6),2)</f>
        <v>73593.6</v>
      </c>
      <c r="G62" s="30">
        <f>ROUND((74565.3),2)</f>
        <v>74565.3</v>
      </c>
    </row>
    <row r="63" spans="1:7" s="40" customFormat="1" ht="12.75" customHeight="1">
      <c r="A63" s="48" t="s">
        <v>75</v>
      </c>
      <c r="B63" s="59" t="s">
        <v>76</v>
      </c>
      <c r="C63" s="53"/>
      <c r="D63" s="47"/>
      <c r="E63" s="84"/>
      <c r="F63" s="30">
        <f>ROUND((1858.01),2)</f>
        <v>1858.01</v>
      </c>
      <c r="G63" s="30">
        <f>ROUND((1858.01),2)</f>
        <v>1858.01</v>
      </c>
    </row>
    <row r="64" spans="1:7" s="40" customFormat="1" ht="12.75" customHeight="1">
      <c r="A64" s="45" t="s">
        <v>77</v>
      </c>
      <c r="B64" s="78" t="s">
        <v>78</v>
      </c>
      <c r="C64" s="79"/>
      <c r="D64" s="71"/>
      <c r="E64" s="84"/>
      <c r="F64" s="29">
        <f>F65+F69</f>
        <v>28157.82</v>
      </c>
      <c r="G64" s="29">
        <f>G65+G69</f>
        <v>11585.070000000002</v>
      </c>
    </row>
    <row r="65" spans="1:7" s="40" customFormat="1" ht="12.75" customHeight="1">
      <c r="A65" s="48" t="s">
        <v>11</v>
      </c>
      <c r="B65" s="81" t="s">
        <v>79</v>
      </c>
      <c r="C65" s="113"/>
      <c r="D65" s="114"/>
      <c r="E65" s="84"/>
      <c r="F65" s="29">
        <f>F66+F70</f>
        <v>0</v>
      </c>
      <c r="G65" s="29">
        <f>G66+G70</f>
        <v>0</v>
      </c>
    </row>
    <row r="66" spans="1:7" s="40" customFormat="1" ht="12.75">
      <c r="A66" s="52" t="s">
        <v>13</v>
      </c>
      <c r="B66" s="62"/>
      <c r="C66" s="54" t="s">
        <v>80</v>
      </c>
      <c r="D66" s="73"/>
      <c r="E66" s="110"/>
      <c r="F66" s="29"/>
      <c r="G66" s="29"/>
    </row>
    <row r="67" spans="1:7" s="40" customFormat="1" ht="12.75" customHeight="1">
      <c r="A67" s="52" t="s">
        <v>15</v>
      </c>
      <c r="B67" s="53"/>
      <c r="C67" s="54" t="s">
        <v>81</v>
      </c>
      <c r="D67" s="51"/>
      <c r="E67" s="84"/>
      <c r="F67" s="28"/>
      <c r="G67" s="28"/>
    </row>
    <row r="68" spans="1:7" s="40" customFormat="1" ht="12.75" customHeight="1">
      <c r="A68" s="52" t="s">
        <v>82</v>
      </c>
      <c r="B68" s="53"/>
      <c r="C68" s="54" t="s">
        <v>83</v>
      </c>
      <c r="D68" s="51"/>
      <c r="E68" s="115"/>
      <c r="F68" s="6">
        <f>ROUND((0),2)</f>
        <v>0</v>
      </c>
      <c r="G68" s="6">
        <f>ROUND((0),2)</f>
        <v>0</v>
      </c>
    </row>
    <row r="69" spans="1:7" s="120" customFormat="1" ht="12.75" customHeight="1">
      <c r="A69" s="90" t="s">
        <v>20</v>
      </c>
      <c r="B69" s="116" t="s">
        <v>84</v>
      </c>
      <c r="C69" s="117"/>
      <c r="D69" s="118"/>
      <c r="E69" s="119"/>
      <c r="F69" s="28">
        <f>F70+F71+F72+F73+F75+F78+F79+F80+F81+F82+F83</f>
        <v>28157.82</v>
      </c>
      <c r="G69" s="28">
        <f>G70+G71+G72+G73+G75+G78+G79+G80+G81+G82+G83</f>
        <v>11585.070000000002</v>
      </c>
    </row>
    <row r="70" spans="1:7" s="40" customFormat="1" ht="12.75" customHeight="1">
      <c r="A70" s="52" t="s">
        <v>22</v>
      </c>
      <c r="B70" s="53"/>
      <c r="C70" s="54" t="s">
        <v>85</v>
      </c>
      <c r="D70" s="55"/>
      <c r="E70" s="84"/>
      <c r="F70" s="3"/>
      <c r="G70" s="3"/>
    </row>
    <row r="71" spans="1:7" s="40" customFormat="1" ht="12.75" customHeight="1">
      <c r="A71" s="52" t="s">
        <v>24</v>
      </c>
      <c r="B71" s="62"/>
      <c r="C71" s="54" t="s">
        <v>86</v>
      </c>
      <c r="D71" s="73"/>
      <c r="E71" s="110"/>
      <c r="F71" s="28"/>
      <c r="G71" s="28"/>
    </row>
    <row r="72" spans="1:7" s="40" customFormat="1" ht="12.75">
      <c r="A72" s="52" t="s">
        <v>26</v>
      </c>
      <c r="B72" s="62"/>
      <c r="C72" s="54" t="s">
        <v>87</v>
      </c>
      <c r="D72" s="73"/>
      <c r="E72" s="110"/>
      <c r="F72" s="6"/>
      <c r="G72" s="6"/>
    </row>
    <row r="73" spans="1:7" s="40" customFormat="1" ht="12.75">
      <c r="A73" s="121" t="s">
        <v>28</v>
      </c>
      <c r="B73" s="99"/>
      <c r="C73" s="122" t="s">
        <v>88</v>
      </c>
      <c r="D73" s="106"/>
      <c r="E73" s="110"/>
      <c r="F73" s="30"/>
      <c r="G73" s="30"/>
    </row>
    <row r="74" spans="1:7" s="40" customFormat="1" ht="12.75">
      <c r="A74" s="48" t="s">
        <v>30</v>
      </c>
      <c r="B74" s="2"/>
      <c r="C74" s="2" t="s">
        <v>191</v>
      </c>
      <c r="D74" s="55"/>
      <c r="E74" s="123"/>
      <c r="F74" s="6"/>
      <c r="G74" s="6"/>
    </row>
    <row r="75" spans="1:7" s="40" customFormat="1" ht="12.75" customHeight="1">
      <c r="A75" s="124" t="s">
        <v>32</v>
      </c>
      <c r="B75" s="117"/>
      <c r="C75" s="125" t="s">
        <v>89</v>
      </c>
      <c r="D75" s="126"/>
      <c r="E75" s="84"/>
      <c r="F75" s="6"/>
      <c r="G75" s="6"/>
    </row>
    <row r="76" spans="1:7" s="40" customFormat="1" ht="12.75" customHeight="1">
      <c r="A76" s="101" t="s">
        <v>192</v>
      </c>
      <c r="B76" s="87"/>
      <c r="C76" s="108"/>
      <c r="D76" s="89" t="s">
        <v>90</v>
      </c>
      <c r="E76" s="110"/>
      <c r="F76" s="6"/>
      <c r="G76" s="6"/>
    </row>
    <row r="77" spans="1:7" s="40" customFormat="1" ht="12.75" customHeight="1">
      <c r="A77" s="101" t="s">
        <v>210</v>
      </c>
      <c r="B77" s="87"/>
      <c r="C77" s="108"/>
      <c r="D77" s="89" t="s">
        <v>91</v>
      </c>
      <c r="E77" s="83"/>
      <c r="F77" s="6"/>
      <c r="G77" s="6"/>
    </row>
    <row r="78" spans="1:7" s="40" customFormat="1" ht="12.75" customHeight="1">
      <c r="A78" s="101" t="s">
        <v>34</v>
      </c>
      <c r="B78" s="103"/>
      <c r="C78" s="127" t="s">
        <v>92</v>
      </c>
      <c r="D78" s="128"/>
      <c r="E78" s="83"/>
      <c r="F78" s="6"/>
      <c r="G78" s="6"/>
    </row>
    <row r="79" spans="1:7" s="40" customFormat="1" ht="12.75" customHeight="1">
      <c r="A79" s="101" t="s">
        <v>36</v>
      </c>
      <c r="B79" s="129"/>
      <c r="C79" s="88" t="s">
        <v>93</v>
      </c>
      <c r="D79" s="130"/>
      <c r="E79" s="110"/>
      <c r="F79" s="30">
        <f>ROUND(0,2)</f>
        <v>0</v>
      </c>
      <c r="G79" s="30">
        <f>ROUND(0,2)</f>
        <v>0</v>
      </c>
    </row>
    <row r="80" spans="1:7" s="40" customFormat="1" ht="12.75" customHeight="1">
      <c r="A80" s="101" t="s">
        <v>38</v>
      </c>
      <c r="B80" s="53"/>
      <c r="C80" s="54" t="s">
        <v>94</v>
      </c>
      <c r="D80" s="51"/>
      <c r="E80" s="84"/>
      <c r="F80" s="30">
        <f>ROUND((840.16),2)</f>
        <v>840.16</v>
      </c>
      <c r="G80" s="30">
        <f>ROUND((69.07),2)</f>
        <v>69.07</v>
      </c>
    </row>
    <row r="81" spans="1:7" s="40" customFormat="1" ht="12.75" customHeight="1">
      <c r="A81" s="101" t="s">
        <v>40</v>
      </c>
      <c r="B81" s="53"/>
      <c r="C81" s="54" t="s">
        <v>95</v>
      </c>
      <c r="D81" s="51"/>
      <c r="E81" s="84"/>
      <c r="F81" s="30">
        <f>ROUND((6223.64+3060.03+1781.67+216.98+14.7),2)</f>
        <v>11297.02</v>
      </c>
      <c r="G81" s="30">
        <f>ROUND((114.8),2)</f>
        <v>114.8</v>
      </c>
    </row>
    <row r="82" spans="1:7" s="40" customFormat="1" ht="12.75" customHeight="1">
      <c r="A82" s="52" t="s">
        <v>193</v>
      </c>
      <c r="B82" s="87"/>
      <c r="C82" s="88" t="s">
        <v>96</v>
      </c>
      <c r="D82" s="89"/>
      <c r="E82" s="84"/>
      <c r="F82" s="30">
        <f>ROUND((15577.65+225.9),2)</f>
        <v>15803.55</v>
      </c>
      <c r="G82" s="30">
        <f>ROUND((11066.15+160.47),2)</f>
        <v>11226.62</v>
      </c>
    </row>
    <row r="83" spans="1:8" s="40" customFormat="1" ht="12.75" customHeight="1">
      <c r="A83" s="52" t="s">
        <v>211</v>
      </c>
      <c r="B83" s="53"/>
      <c r="C83" s="54" t="s">
        <v>97</v>
      </c>
      <c r="D83" s="51"/>
      <c r="E83" s="115"/>
      <c r="F83" s="30">
        <f>ROUND((217.09),2)</f>
        <v>217.09</v>
      </c>
      <c r="G83" s="30">
        <f>ROUND((174.58),2)</f>
        <v>174.58</v>
      </c>
      <c r="H83" s="39"/>
    </row>
    <row r="84" spans="1:7" s="40" customFormat="1" ht="12.75" customHeight="1">
      <c r="A84" s="45" t="s">
        <v>98</v>
      </c>
      <c r="B84" s="131" t="s">
        <v>99</v>
      </c>
      <c r="C84" s="132"/>
      <c r="D84" s="133"/>
      <c r="E84" s="115"/>
      <c r="F84" s="4">
        <f>F85+F86+F89+F90</f>
        <v>11498.31</v>
      </c>
      <c r="G84" s="4">
        <f>G85+G86+G89+G90</f>
        <v>11618.82</v>
      </c>
    </row>
    <row r="85" spans="1:7" s="40" customFormat="1" ht="12.75" customHeight="1">
      <c r="A85" s="48" t="s">
        <v>11</v>
      </c>
      <c r="B85" s="59" t="s">
        <v>100</v>
      </c>
      <c r="C85" s="53"/>
      <c r="D85" s="47"/>
      <c r="E85" s="115"/>
      <c r="F85" s="6"/>
      <c r="G85" s="6"/>
    </row>
    <row r="86" spans="1:7" s="40" customFormat="1" ht="12.75" customHeight="1">
      <c r="A86" s="48" t="s">
        <v>20</v>
      </c>
      <c r="B86" s="81" t="s">
        <v>101</v>
      </c>
      <c r="C86" s="113"/>
      <c r="D86" s="114"/>
      <c r="E86" s="84"/>
      <c r="F86" s="4"/>
      <c r="G86" s="4"/>
    </row>
    <row r="87" spans="1:7" s="40" customFormat="1" ht="12.75" customHeight="1">
      <c r="A87" s="52" t="s">
        <v>22</v>
      </c>
      <c r="B87" s="53"/>
      <c r="C87" s="54" t="s">
        <v>102</v>
      </c>
      <c r="D87" s="51"/>
      <c r="E87" s="84"/>
      <c r="F87" s="3"/>
      <c r="G87" s="3"/>
    </row>
    <row r="88" spans="1:7" s="40" customFormat="1" ht="12.75" customHeight="1">
      <c r="A88" s="52" t="s">
        <v>24</v>
      </c>
      <c r="B88" s="53"/>
      <c r="C88" s="54" t="s">
        <v>103</v>
      </c>
      <c r="D88" s="51"/>
      <c r="E88" s="84"/>
      <c r="F88" s="3"/>
      <c r="G88" s="3"/>
    </row>
    <row r="89" spans="1:7" s="40" customFormat="1" ht="12.75" customHeight="1">
      <c r="A89" s="90" t="s">
        <v>41</v>
      </c>
      <c r="B89" s="108" t="s">
        <v>104</v>
      </c>
      <c r="C89" s="108"/>
      <c r="D89" s="134"/>
      <c r="E89" s="84"/>
      <c r="F89" s="3"/>
      <c r="G89" s="3"/>
    </row>
    <row r="90" spans="1:7" s="40" customFormat="1" ht="12.75" customHeight="1">
      <c r="A90" s="86" t="s">
        <v>43</v>
      </c>
      <c r="B90" s="56" t="s">
        <v>105</v>
      </c>
      <c r="C90" s="57"/>
      <c r="D90" s="58"/>
      <c r="E90" s="84"/>
      <c r="F90" s="3">
        <f>F91+F92</f>
        <v>11498.31</v>
      </c>
      <c r="G90" s="3">
        <f>G91+G92</f>
        <v>11618.82</v>
      </c>
    </row>
    <row r="91" spans="1:7" s="40" customFormat="1" ht="12.75" customHeight="1">
      <c r="A91" s="52" t="s">
        <v>106</v>
      </c>
      <c r="B91" s="79"/>
      <c r="C91" s="54" t="s">
        <v>107</v>
      </c>
      <c r="D91" s="72"/>
      <c r="E91" s="83"/>
      <c r="F91" s="30">
        <v>-120.51</v>
      </c>
      <c r="G91" s="30">
        <v>3099.4</v>
      </c>
    </row>
    <row r="92" spans="1:7" s="40" customFormat="1" ht="12.75" customHeight="1">
      <c r="A92" s="52" t="s">
        <v>108</v>
      </c>
      <c r="B92" s="79"/>
      <c r="C92" s="54" t="s">
        <v>109</v>
      </c>
      <c r="D92" s="72"/>
      <c r="E92" s="83"/>
      <c r="F92" s="3">
        <v>11618.82</v>
      </c>
      <c r="G92" s="3">
        <v>8519.42</v>
      </c>
    </row>
    <row r="93" spans="1:7" s="40" customFormat="1" ht="12.75" customHeight="1">
      <c r="A93" s="45" t="s">
        <v>110</v>
      </c>
      <c r="B93" s="131" t="s">
        <v>212</v>
      </c>
      <c r="C93" s="133"/>
      <c r="D93" s="133"/>
      <c r="E93" s="83"/>
      <c r="F93" s="6"/>
      <c r="G93" s="6"/>
    </row>
    <row r="94" spans="1:10" s="40" customFormat="1" ht="25.5" customHeight="1">
      <c r="A94" s="45"/>
      <c r="B94" s="164" t="s">
        <v>111</v>
      </c>
      <c r="C94" s="165"/>
      <c r="D94" s="160"/>
      <c r="E94" s="140"/>
      <c r="F94" s="141">
        <f>F59+F64+F84</f>
        <v>1441520.5900000003</v>
      </c>
      <c r="G94" s="141">
        <f>G59+G64+G84</f>
        <v>1436502.82</v>
      </c>
      <c r="H94" s="63">
        <f>F58-F94</f>
        <v>0</v>
      </c>
      <c r="J94" s="40">
        <f>+F58-F94</f>
        <v>0</v>
      </c>
    </row>
    <row r="95" spans="1:7" s="40" customFormat="1" ht="12.75">
      <c r="A95" s="135"/>
      <c r="B95" s="136"/>
      <c r="C95" s="136"/>
      <c r="D95" s="136"/>
      <c r="E95" s="139"/>
      <c r="F95" s="142"/>
      <c r="G95" s="142"/>
    </row>
    <row r="96" spans="1:7" s="40" customFormat="1" ht="12.75" customHeight="1">
      <c r="A96" s="147" t="s">
        <v>213</v>
      </c>
      <c r="B96" s="147"/>
      <c r="C96" s="147"/>
      <c r="D96" s="147"/>
      <c r="E96" s="147"/>
      <c r="F96" s="148" t="s">
        <v>203</v>
      </c>
      <c r="G96" s="148"/>
    </row>
    <row r="97" spans="1:7" s="40" customFormat="1" ht="12.75">
      <c r="A97" s="149" t="s">
        <v>214</v>
      </c>
      <c r="B97" s="149"/>
      <c r="C97" s="149"/>
      <c r="D97" s="149"/>
      <c r="E97" s="149"/>
      <c r="F97" s="150" t="s">
        <v>215</v>
      </c>
      <c r="G97" s="150"/>
    </row>
    <row r="98" spans="1:7" s="40" customFormat="1" ht="15">
      <c r="A98" s="151" t="s">
        <v>216</v>
      </c>
      <c r="B98" s="152"/>
      <c r="C98" s="152"/>
      <c r="D98" s="152"/>
      <c r="E98" s="137"/>
      <c r="F98" s="42"/>
      <c r="G98" s="42"/>
    </row>
    <row r="99" spans="1:7" s="40" customFormat="1" ht="9" customHeight="1">
      <c r="A99" s="5"/>
      <c r="B99" s="70"/>
      <c r="C99" s="70"/>
      <c r="D99" s="70"/>
      <c r="E99" s="137"/>
      <c r="F99" s="42"/>
      <c r="G99" s="42"/>
    </row>
    <row r="100" spans="1:7" s="40" customFormat="1" ht="15">
      <c r="A100" s="153" t="s">
        <v>199</v>
      </c>
      <c r="B100" s="153"/>
      <c r="C100" s="153"/>
      <c r="D100" s="153"/>
      <c r="E100" s="153"/>
      <c r="F100" s="154" t="s">
        <v>201</v>
      </c>
      <c r="G100" s="154"/>
    </row>
    <row r="101" spans="1:7" s="40" customFormat="1" ht="12.75" customHeight="1">
      <c r="A101" s="145" t="s">
        <v>217</v>
      </c>
      <c r="B101" s="145"/>
      <c r="C101" s="145"/>
      <c r="D101" s="145"/>
      <c r="E101" s="145"/>
      <c r="F101" s="146" t="s">
        <v>215</v>
      </c>
      <c r="G101" s="146"/>
    </row>
    <row r="102" s="40" customFormat="1" ht="12.75">
      <c r="E102" s="75"/>
    </row>
    <row r="103" s="40" customFormat="1" ht="12.75">
      <c r="E103" s="75"/>
    </row>
    <row r="104" s="40" customFormat="1" ht="12.75">
      <c r="E104" s="75"/>
    </row>
    <row r="105" s="40" customFormat="1" ht="12.75">
      <c r="E105" s="75"/>
    </row>
    <row r="106" s="40" customFormat="1" ht="12.75">
      <c r="E106" s="75"/>
    </row>
    <row r="107" s="40" customFormat="1" ht="12.75">
      <c r="E107" s="75"/>
    </row>
    <row r="108" s="40" customFormat="1" ht="12.75">
      <c r="E108" s="75"/>
    </row>
    <row r="109" s="40" customFormat="1" ht="12.75">
      <c r="E109" s="75"/>
    </row>
    <row r="110" s="40" customFormat="1" ht="12.75">
      <c r="E110" s="75"/>
    </row>
    <row r="111" s="40" customFormat="1" ht="12.75">
      <c r="E111" s="75"/>
    </row>
    <row r="112" s="40" customFormat="1" ht="12.75">
      <c r="E112" s="75"/>
    </row>
    <row r="113" s="40" customFormat="1" ht="12.75">
      <c r="E113" s="75"/>
    </row>
    <row r="114" s="40" customFormat="1" ht="12.75">
      <c r="E114" s="75"/>
    </row>
    <row r="115" s="40" customFormat="1" ht="12.75">
      <c r="E115" s="75"/>
    </row>
    <row r="116" s="40" customFormat="1" ht="12.75">
      <c r="E116" s="75"/>
    </row>
    <row r="117" s="40" customFormat="1" ht="12.75">
      <c r="E117" s="75"/>
    </row>
    <row r="118" s="40" customFormat="1" ht="12.75">
      <c r="E118" s="75"/>
    </row>
    <row r="119" s="40" customFormat="1" ht="12.75">
      <c r="E119" s="75"/>
    </row>
    <row r="120" s="40" customFormat="1" ht="12.75">
      <c r="E120" s="75"/>
    </row>
    <row r="121" s="40" customFormat="1" ht="12.75">
      <c r="E121" s="75"/>
    </row>
    <row r="122" s="40" customFormat="1" ht="12.75">
      <c r="E122" s="75"/>
    </row>
  </sheetData>
  <sheetProtection/>
  <mergeCells count="27">
    <mergeCell ref="E2:G2"/>
    <mergeCell ref="E3:G3"/>
    <mergeCell ref="A5:G6"/>
    <mergeCell ref="A7:G7"/>
    <mergeCell ref="A8:G8"/>
    <mergeCell ref="A9:G9"/>
    <mergeCell ref="A10:G11"/>
    <mergeCell ref="A12:E12"/>
    <mergeCell ref="A13:G13"/>
    <mergeCell ref="A14:G14"/>
    <mergeCell ref="A16:G16"/>
    <mergeCell ref="A17:G17"/>
    <mergeCell ref="D18:G18"/>
    <mergeCell ref="B19:D19"/>
    <mergeCell ref="C47:D47"/>
    <mergeCell ref="C53:D53"/>
    <mergeCell ref="B62:D62"/>
    <mergeCell ref="B94:D94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0"/>
  <sheetViews>
    <sheetView zoomScalePageLayoutView="0" workbookViewId="0" topLeftCell="A1">
      <selection activeCell="H75" sqref="H75"/>
    </sheetView>
  </sheetViews>
  <sheetFormatPr defaultColWidth="9.140625" defaultRowHeight="15"/>
  <cols>
    <col min="2" max="2" width="7.8515625" style="0" customWidth="1"/>
    <col min="3" max="3" width="0.2890625" style="0" hidden="1" customWidth="1"/>
    <col min="6" max="6" width="10.7109375" style="0" customWidth="1"/>
    <col min="7" max="7" width="18.421875" style="0" customWidth="1"/>
    <col min="8" max="8" width="12.7109375" style="0" customWidth="1"/>
    <col min="9" max="9" width="13.28125" style="0" customWidth="1"/>
    <col min="10" max="10" width="12.00390625" style="0" customWidth="1"/>
    <col min="11" max="11" width="11.421875" style="0" hidden="1" customWidth="1"/>
    <col min="12" max="14" width="9.140625" style="0" hidden="1" customWidth="1"/>
    <col min="15" max="15" width="14.7109375" style="0" hidden="1" customWidth="1"/>
    <col min="16" max="16" width="9.140625" style="0" hidden="1" customWidth="1"/>
    <col min="17" max="18" width="9.140625" style="0" customWidth="1"/>
  </cols>
  <sheetData>
    <row r="1" spans="2:10" ht="15.75">
      <c r="B1" s="13"/>
      <c r="C1" s="13"/>
      <c r="D1" s="13"/>
      <c r="E1" s="15"/>
      <c r="F1" s="13"/>
      <c r="G1" s="13"/>
      <c r="H1" s="16" t="s">
        <v>112</v>
      </c>
      <c r="I1" s="17"/>
      <c r="J1" s="17"/>
    </row>
    <row r="2" spans="2:10" ht="15.75">
      <c r="B2" s="13"/>
      <c r="C2" s="13"/>
      <c r="D2" s="13"/>
      <c r="E2" s="13"/>
      <c r="F2" s="13"/>
      <c r="G2" s="13"/>
      <c r="H2" s="16" t="s">
        <v>1</v>
      </c>
      <c r="I2" s="17"/>
      <c r="J2" s="17"/>
    </row>
    <row r="3" spans="2:10" ht="15">
      <c r="B3" s="18"/>
      <c r="C3" s="18"/>
      <c r="D3" s="18"/>
      <c r="E3" s="18"/>
      <c r="F3" s="18"/>
      <c r="G3" s="18"/>
      <c r="H3" s="18"/>
      <c r="I3" s="18"/>
      <c r="J3" s="18"/>
    </row>
    <row r="4" spans="2:10" ht="15.75">
      <c r="B4" s="218"/>
      <c r="C4" s="188"/>
      <c r="D4" s="188"/>
      <c r="E4" s="188"/>
      <c r="F4" s="188"/>
      <c r="G4" s="188"/>
      <c r="H4" s="188"/>
      <c r="I4" s="188"/>
      <c r="J4" s="188"/>
    </row>
    <row r="5" spans="2:10" ht="15.75">
      <c r="B5" s="219"/>
      <c r="C5" s="188"/>
      <c r="D5" s="188"/>
      <c r="E5" s="188"/>
      <c r="F5" s="188"/>
      <c r="G5" s="188"/>
      <c r="H5" s="188"/>
      <c r="I5" s="188"/>
      <c r="J5" s="188"/>
    </row>
    <row r="6" spans="2:10" ht="15.75">
      <c r="B6" s="220" t="s">
        <v>200</v>
      </c>
      <c r="C6" s="221"/>
      <c r="D6" s="221"/>
      <c r="E6" s="221"/>
      <c r="F6" s="221"/>
      <c r="G6" s="221"/>
      <c r="H6" s="221"/>
      <c r="I6" s="221"/>
      <c r="J6" s="221"/>
    </row>
    <row r="7" spans="2:10" ht="15" hidden="1">
      <c r="B7" s="185"/>
      <c r="C7" s="186"/>
      <c r="D7" s="186"/>
      <c r="E7" s="186"/>
      <c r="F7" s="186"/>
      <c r="G7" s="186"/>
      <c r="H7" s="186"/>
      <c r="I7" s="186"/>
      <c r="J7" s="186"/>
    </row>
    <row r="8" spans="2:10" ht="15">
      <c r="B8" s="185" t="s">
        <v>194</v>
      </c>
      <c r="C8" s="186"/>
      <c r="D8" s="186"/>
      <c r="E8" s="186"/>
      <c r="F8" s="186"/>
      <c r="G8" s="186"/>
      <c r="H8" s="186"/>
      <c r="I8" s="186"/>
      <c r="J8" s="186"/>
    </row>
    <row r="9" spans="2:10" ht="15" hidden="1">
      <c r="B9" s="187"/>
      <c r="C9" s="188"/>
      <c r="D9" s="188"/>
      <c r="E9" s="188"/>
      <c r="F9" s="188"/>
      <c r="G9" s="188"/>
      <c r="H9" s="188"/>
      <c r="I9" s="188"/>
      <c r="J9" s="188"/>
    </row>
    <row r="10" spans="2:10" ht="15">
      <c r="B10" s="195"/>
      <c r="C10" s="190"/>
      <c r="D10" s="190"/>
      <c r="E10" s="190"/>
      <c r="F10" s="190"/>
      <c r="G10" s="190"/>
      <c r="H10" s="190"/>
      <c r="I10" s="190"/>
      <c r="J10" s="190"/>
    </row>
    <row r="11" spans="2:10" ht="15">
      <c r="B11" s="198" t="s">
        <v>113</v>
      </c>
      <c r="C11" s="199"/>
      <c r="D11" s="199"/>
      <c r="E11" s="199"/>
      <c r="F11" s="199"/>
      <c r="G11" s="199"/>
      <c r="H11" s="199"/>
      <c r="I11" s="199"/>
      <c r="J11" s="199"/>
    </row>
    <row r="12" spans="2:10" ht="15">
      <c r="B12" s="198"/>
      <c r="C12" s="199"/>
      <c r="D12" s="199"/>
      <c r="E12" s="199"/>
      <c r="F12" s="199"/>
      <c r="G12" s="199"/>
      <c r="H12" s="199"/>
      <c r="I12" s="199"/>
      <c r="J12" s="199"/>
    </row>
    <row r="13" spans="2:10" ht="15">
      <c r="B13" s="198" t="s">
        <v>221</v>
      </c>
      <c r="C13" s="199"/>
      <c r="D13" s="199"/>
      <c r="E13" s="199"/>
      <c r="F13" s="199"/>
      <c r="G13" s="199"/>
      <c r="H13" s="199"/>
      <c r="I13" s="199"/>
      <c r="J13" s="199"/>
    </row>
    <row r="14" spans="2:10" ht="15">
      <c r="B14" s="187" t="s">
        <v>223</v>
      </c>
      <c r="C14" s="190"/>
      <c r="D14" s="190"/>
      <c r="E14" s="190"/>
      <c r="F14" s="190"/>
      <c r="G14" s="190"/>
      <c r="H14" s="190"/>
      <c r="I14" s="190"/>
      <c r="J14" s="190"/>
    </row>
    <row r="15" spans="2:10" ht="15">
      <c r="B15" s="66"/>
      <c r="C15" s="66"/>
      <c r="D15" s="66"/>
      <c r="E15" s="66"/>
      <c r="F15" s="187" t="s">
        <v>3</v>
      </c>
      <c r="G15" s="187"/>
      <c r="H15" s="66"/>
      <c r="I15" s="66"/>
      <c r="J15" s="66"/>
    </row>
    <row r="16" spans="2:10" ht="15">
      <c r="B16" s="197" t="s">
        <v>196</v>
      </c>
      <c r="C16" s="190"/>
      <c r="D16" s="190"/>
      <c r="E16" s="190"/>
      <c r="F16" s="190"/>
      <c r="G16" s="190"/>
      <c r="H16" s="190"/>
      <c r="I16" s="190"/>
      <c r="J16" s="190"/>
    </row>
    <row r="17" spans="2:13" ht="78.75">
      <c r="B17" s="191" t="s">
        <v>4</v>
      </c>
      <c r="C17" s="191"/>
      <c r="D17" s="191" t="s">
        <v>5</v>
      </c>
      <c r="E17" s="192"/>
      <c r="F17" s="192"/>
      <c r="G17" s="192"/>
      <c r="H17" s="7"/>
      <c r="I17" s="7" t="s">
        <v>114</v>
      </c>
      <c r="J17" s="7" t="s">
        <v>115</v>
      </c>
      <c r="L17" t="s">
        <v>197</v>
      </c>
      <c r="M17" s="32" t="s">
        <v>198</v>
      </c>
    </row>
    <row r="18" spans="2:13" ht="15.75">
      <c r="B18" s="8" t="s">
        <v>9</v>
      </c>
      <c r="C18" s="19" t="s">
        <v>116</v>
      </c>
      <c r="D18" s="193" t="s">
        <v>116</v>
      </c>
      <c r="E18" s="194"/>
      <c r="F18" s="194"/>
      <c r="G18" s="194"/>
      <c r="H18" s="20"/>
      <c r="I18" s="31">
        <f>+I19+I24+I25</f>
        <v>66587.81</v>
      </c>
      <c r="J18" s="31">
        <f>+J19+J24+J25</f>
        <v>66670.2</v>
      </c>
      <c r="L18">
        <v>400976.8499999999</v>
      </c>
      <c r="M18">
        <f>L18/3.4528</f>
        <v>116130.92272937903</v>
      </c>
    </row>
    <row r="19" spans="2:13" ht="15.75">
      <c r="B19" s="10" t="s">
        <v>11</v>
      </c>
      <c r="C19" s="21" t="s">
        <v>117</v>
      </c>
      <c r="D19" s="196" t="s">
        <v>117</v>
      </c>
      <c r="E19" s="196"/>
      <c r="F19" s="196"/>
      <c r="G19" s="196"/>
      <c r="H19" s="69"/>
      <c r="I19" s="31">
        <f>SUM(I20:I23)</f>
        <v>66587.81</v>
      </c>
      <c r="J19" s="31">
        <f>SUM(J20:J23)</f>
        <v>64388.35</v>
      </c>
      <c r="L19">
        <v>385338.8599999999</v>
      </c>
      <c r="M19">
        <f aca="true" t="shared" si="0" ref="M19:M55">L19/3.4528</f>
        <v>111601.84777571824</v>
      </c>
    </row>
    <row r="20" spans="2:13" ht="15.75">
      <c r="B20" s="10" t="s">
        <v>118</v>
      </c>
      <c r="C20" s="21" t="s">
        <v>72</v>
      </c>
      <c r="D20" s="196" t="s">
        <v>72</v>
      </c>
      <c r="E20" s="196"/>
      <c r="F20" s="196"/>
      <c r="G20" s="196"/>
      <c r="H20" s="22"/>
      <c r="I20" s="144">
        <f>ROUND((10900.92+3549),2)</f>
        <v>14449.92</v>
      </c>
      <c r="J20" s="6">
        <f>ROUND((10900.92+5615),2)</f>
        <v>16515.92</v>
      </c>
      <c r="K20" t="e">
        <f>I20-#REF!</f>
        <v>#REF!</v>
      </c>
      <c r="L20">
        <v>75392.23</v>
      </c>
      <c r="M20">
        <f t="shared" si="0"/>
        <v>21835.099050046338</v>
      </c>
    </row>
    <row r="21" spans="2:15" ht="15.75">
      <c r="B21" s="10" t="s">
        <v>119</v>
      </c>
      <c r="C21" s="23" t="s">
        <v>120</v>
      </c>
      <c r="D21" s="203" t="s">
        <v>120</v>
      </c>
      <c r="E21" s="203"/>
      <c r="F21" s="203"/>
      <c r="G21" s="203"/>
      <c r="H21" s="69"/>
      <c r="I21" s="144">
        <f>ROUND((1520.37+104.7+49541.12),2)</f>
        <v>51166.19</v>
      </c>
      <c r="J21" s="6">
        <f>ROUND((1520.37+2046.53+42189.83),2)</f>
        <v>45756.73</v>
      </c>
      <c r="K21" s="33" t="e">
        <f>I21-#REF!</f>
        <v>#REF!</v>
      </c>
      <c r="L21">
        <v>291729.35</v>
      </c>
      <c r="M21">
        <f t="shared" si="0"/>
        <v>84490.65975440222</v>
      </c>
      <c r="O21" s="33" t="s">
        <v>219</v>
      </c>
    </row>
    <row r="22" spans="2:13" ht="15.75">
      <c r="B22" s="10" t="s">
        <v>121</v>
      </c>
      <c r="C22" s="21" t="s">
        <v>122</v>
      </c>
      <c r="D22" s="203" t="s">
        <v>122</v>
      </c>
      <c r="E22" s="203"/>
      <c r="F22" s="203"/>
      <c r="G22" s="203"/>
      <c r="H22" s="22"/>
      <c r="I22" s="144">
        <f>ROUND((971.7),2)</f>
        <v>971.7</v>
      </c>
      <c r="J22" s="6">
        <f>ROUND((971.7),2)</f>
        <v>971.7</v>
      </c>
      <c r="K22" t="e">
        <f>I22-#REF!</f>
        <v>#REF!</v>
      </c>
      <c r="L22">
        <v>1990.18</v>
      </c>
      <c r="M22">
        <f t="shared" si="0"/>
        <v>576.3959684893421</v>
      </c>
    </row>
    <row r="23" spans="2:17" ht="15.75">
      <c r="B23" s="10" t="s">
        <v>123</v>
      </c>
      <c r="C23" s="23" t="s">
        <v>124</v>
      </c>
      <c r="D23" s="203" t="s">
        <v>124</v>
      </c>
      <c r="E23" s="203"/>
      <c r="F23" s="203"/>
      <c r="G23" s="203"/>
      <c r="H23" s="22"/>
      <c r="I23" s="144">
        <f>ROUND((0),2)</f>
        <v>0</v>
      </c>
      <c r="J23" s="6">
        <f>ROUND((1144),2)</f>
        <v>1144</v>
      </c>
      <c r="K23" t="e">
        <f>I23-#REF!</f>
        <v>#REF!</v>
      </c>
      <c r="L23">
        <v>16227.1</v>
      </c>
      <c r="M23">
        <f t="shared" si="0"/>
        <v>4699.693002780353</v>
      </c>
      <c r="Q23" s="33"/>
    </row>
    <row r="24" spans="2:13" ht="15.75">
      <c r="B24" s="10" t="s">
        <v>20</v>
      </c>
      <c r="C24" s="21" t="s">
        <v>125</v>
      </c>
      <c r="D24" s="203" t="s">
        <v>125</v>
      </c>
      <c r="E24" s="203"/>
      <c r="F24" s="203"/>
      <c r="G24" s="203"/>
      <c r="H24" s="22"/>
      <c r="I24" s="23"/>
      <c r="J24" s="23"/>
      <c r="M24">
        <f t="shared" si="0"/>
        <v>0</v>
      </c>
    </row>
    <row r="25" spans="2:13" ht="15.75">
      <c r="B25" s="10" t="s">
        <v>41</v>
      </c>
      <c r="C25" s="21" t="s">
        <v>126</v>
      </c>
      <c r="D25" s="203" t="s">
        <v>126</v>
      </c>
      <c r="E25" s="203"/>
      <c r="F25" s="203"/>
      <c r="G25" s="203"/>
      <c r="H25" s="22"/>
      <c r="I25" s="31">
        <f>+I26+I27</f>
        <v>0</v>
      </c>
      <c r="J25" s="31">
        <f>+J26+J27</f>
        <v>2281.85</v>
      </c>
      <c r="L25">
        <v>15637.99</v>
      </c>
      <c r="M25">
        <f t="shared" si="0"/>
        <v>4529.074953660797</v>
      </c>
    </row>
    <row r="26" spans="2:13" ht="15.75">
      <c r="B26" s="10" t="s">
        <v>127</v>
      </c>
      <c r="C26" s="23" t="s">
        <v>128</v>
      </c>
      <c r="D26" s="203" t="s">
        <v>128</v>
      </c>
      <c r="E26" s="203"/>
      <c r="F26" s="203"/>
      <c r="G26" s="203"/>
      <c r="H26" s="22"/>
      <c r="I26" s="144">
        <f>ROUND((0),2)</f>
        <v>0</v>
      </c>
      <c r="J26" s="6">
        <f>ROUND((149.85+2132),2)</f>
        <v>2281.85</v>
      </c>
      <c r="L26">
        <v>15637.99</v>
      </c>
      <c r="M26">
        <f t="shared" si="0"/>
        <v>4529.074953660797</v>
      </c>
    </row>
    <row r="27" spans="2:13" ht="15.75">
      <c r="B27" s="10" t="s">
        <v>129</v>
      </c>
      <c r="C27" s="23" t="s">
        <v>130</v>
      </c>
      <c r="D27" s="203" t="s">
        <v>130</v>
      </c>
      <c r="E27" s="203"/>
      <c r="F27" s="203"/>
      <c r="G27" s="203"/>
      <c r="H27" s="22"/>
      <c r="I27" s="19"/>
      <c r="J27" s="19"/>
      <c r="M27">
        <f t="shared" si="0"/>
        <v>0</v>
      </c>
    </row>
    <row r="28" spans="2:17" ht="15.75">
      <c r="B28" s="8" t="s">
        <v>44</v>
      </c>
      <c r="C28" s="19" t="s">
        <v>131</v>
      </c>
      <c r="D28" s="193" t="s">
        <v>131</v>
      </c>
      <c r="E28" s="193"/>
      <c r="F28" s="193"/>
      <c r="G28" s="193"/>
      <c r="H28" s="69"/>
      <c r="I28" s="31">
        <f>SUM(I29:I42)</f>
        <v>66708.32</v>
      </c>
      <c r="J28" s="31">
        <f>SUM(J29:J42)</f>
        <v>66107.49999999999</v>
      </c>
      <c r="L28">
        <v>393604</v>
      </c>
      <c r="M28">
        <f t="shared" si="0"/>
        <v>113995.59777571826</v>
      </c>
      <c r="Q28" s="33"/>
    </row>
    <row r="29" spans="2:13" ht="15.75">
      <c r="B29" s="10" t="s">
        <v>11</v>
      </c>
      <c r="C29" s="21" t="s">
        <v>132</v>
      </c>
      <c r="D29" s="203" t="s">
        <v>133</v>
      </c>
      <c r="E29" s="204"/>
      <c r="F29" s="204"/>
      <c r="G29" s="204"/>
      <c r="H29" s="69"/>
      <c r="I29" s="144">
        <f>ROUND((41096.24+4511.5+65.43+595.92+451.35),2)</f>
        <v>46720.44</v>
      </c>
      <c r="J29" s="6">
        <f>ROUND((36922.96+3828.06+55.54+10.56+532.9+574.8),2)</f>
        <v>41924.82</v>
      </c>
      <c r="L29">
        <v>256879.56</v>
      </c>
      <c r="M29">
        <f t="shared" si="0"/>
        <v>74397.46292863763</v>
      </c>
    </row>
    <row r="30" spans="2:13" ht="15.75">
      <c r="B30" s="10" t="s">
        <v>134</v>
      </c>
      <c r="C30" s="21" t="s">
        <v>135</v>
      </c>
      <c r="D30" s="203" t="s">
        <v>136</v>
      </c>
      <c r="E30" s="204"/>
      <c r="F30" s="204"/>
      <c r="G30" s="204"/>
      <c r="H30" s="22"/>
      <c r="I30" s="144">
        <f>ROUND((13459.5),2)</f>
        <v>13459.5</v>
      </c>
      <c r="J30" s="6">
        <f>ROUND((13459.5),2)</f>
        <v>13459.5</v>
      </c>
      <c r="L30">
        <v>35911.76</v>
      </c>
      <c r="M30">
        <f t="shared" si="0"/>
        <v>10400.764596848936</v>
      </c>
    </row>
    <row r="31" spans="2:13" ht="17.25" customHeight="1">
      <c r="B31" s="10" t="s">
        <v>41</v>
      </c>
      <c r="C31" s="21" t="s">
        <v>137</v>
      </c>
      <c r="D31" s="203" t="s">
        <v>138</v>
      </c>
      <c r="E31" s="204"/>
      <c r="F31" s="204"/>
      <c r="G31" s="204"/>
      <c r="H31" s="22"/>
      <c r="I31" s="144">
        <f>ROUND((1551.79+1661.03+39.84+245.59+63.98),2)</f>
        <v>3562.23</v>
      </c>
      <c r="J31" s="6">
        <f>ROUND((1726.43+1360.06+55.6+227.39+63.98),2)</f>
        <v>3433.46</v>
      </c>
      <c r="L31">
        <v>13768.53</v>
      </c>
      <c r="M31">
        <f t="shared" si="0"/>
        <v>3987.641913809083</v>
      </c>
    </row>
    <row r="32" spans="2:13" ht="15.75">
      <c r="B32" s="10" t="s">
        <v>43</v>
      </c>
      <c r="C32" s="21" t="s">
        <v>139</v>
      </c>
      <c r="D32" s="196" t="s">
        <v>140</v>
      </c>
      <c r="E32" s="204"/>
      <c r="F32" s="204"/>
      <c r="G32" s="204"/>
      <c r="H32" s="22"/>
      <c r="I32" s="144">
        <f>ROUND((0),2)</f>
        <v>0</v>
      </c>
      <c r="J32" s="6">
        <f>ROUND((81.06),2)</f>
        <v>81.06</v>
      </c>
      <c r="L32">
        <v>776.49</v>
      </c>
      <c r="M32">
        <f t="shared" si="0"/>
        <v>224.8870481927711</v>
      </c>
    </row>
    <row r="33" spans="2:13" ht="15.75">
      <c r="B33" s="10" t="s">
        <v>67</v>
      </c>
      <c r="C33" s="21" t="s">
        <v>141</v>
      </c>
      <c r="D33" s="196" t="s">
        <v>142</v>
      </c>
      <c r="E33" s="204"/>
      <c r="F33" s="204"/>
      <c r="G33" s="204"/>
      <c r="H33" s="22"/>
      <c r="I33" s="144">
        <f>ROUND((1449.47),2)</f>
        <v>1449.47</v>
      </c>
      <c r="J33" s="6">
        <f>ROUND((2463.45),2)</f>
        <v>2463.45</v>
      </c>
      <c r="L33">
        <v>19815</v>
      </c>
      <c r="M33">
        <f t="shared" si="0"/>
        <v>5738.820667284523</v>
      </c>
    </row>
    <row r="34" spans="2:13" ht="15.75">
      <c r="B34" s="10" t="s">
        <v>143</v>
      </c>
      <c r="C34" s="21" t="s">
        <v>144</v>
      </c>
      <c r="D34" s="196" t="s">
        <v>145</v>
      </c>
      <c r="E34" s="204"/>
      <c r="F34" s="204"/>
      <c r="G34" s="204"/>
      <c r="H34" s="22"/>
      <c r="I34" s="144">
        <f>ROUND((165.65),2)</f>
        <v>165.65</v>
      </c>
      <c r="J34" s="6">
        <f>ROUND((30),2)</f>
        <v>30</v>
      </c>
      <c r="L34">
        <v>266</v>
      </c>
      <c r="M34">
        <f t="shared" si="0"/>
        <v>77.03892493049119</v>
      </c>
    </row>
    <row r="35" spans="2:13" ht="15.75">
      <c r="B35" s="10" t="s">
        <v>146</v>
      </c>
      <c r="C35" s="21" t="s">
        <v>147</v>
      </c>
      <c r="D35" s="196" t="s">
        <v>148</v>
      </c>
      <c r="E35" s="204"/>
      <c r="F35" s="204"/>
      <c r="G35" s="204"/>
      <c r="H35" s="22"/>
      <c r="I35" s="144">
        <f>ROUND((0),2)</f>
        <v>0</v>
      </c>
      <c r="J35" s="6">
        <f aca="true" t="shared" si="1" ref="J35:J42">ROUND((0),2)</f>
        <v>0</v>
      </c>
      <c r="L35">
        <v>0</v>
      </c>
      <c r="M35">
        <f t="shared" si="0"/>
        <v>0</v>
      </c>
    </row>
    <row r="36" spans="2:13" ht="15.75">
      <c r="B36" s="10" t="s">
        <v>149</v>
      </c>
      <c r="C36" s="21" t="s">
        <v>150</v>
      </c>
      <c r="D36" s="203" t="s">
        <v>150</v>
      </c>
      <c r="E36" s="204"/>
      <c r="F36" s="204"/>
      <c r="G36" s="204"/>
      <c r="H36" s="22"/>
      <c r="I36" s="6">
        <f aca="true" t="shared" si="2" ref="I36:I42">ROUND((0),2)</f>
        <v>0</v>
      </c>
      <c r="J36" s="6">
        <f t="shared" si="1"/>
        <v>0</v>
      </c>
      <c r="M36">
        <f t="shared" si="0"/>
        <v>0</v>
      </c>
    </row>
    <row r="37" spans="2:13" ht="30.75" customHeight="1">
      <c r="B37" s="10" t="s">
        <v>151</v>
      </c>
      <c r="C37" s="21" t="s">
        <v>152</v>
      </c>
      <c r="D37" s="196" t="s">
        <v>152</v>
      </c>
      <c r="E37" s="204"/>
      <c r="F37" s="204"/>
      <c r="G37" s="204"/>
      <c r="H37" s="22"/>
      <c r="I37" s="144">
        <f>ROUND((90.7),2)</f>
        <v>90.7</v>
      </c>
      <c r="J37" s="6">
        <f>ROUND((2302.53),2)</f>
        <v>2302.53</v>
      </c>
      <c r="L37">
        <v>24858.62</v>
      </c>
      <c r="M37">
        <f t="shared" si="0"/>
        <v>7199.553985171455</v>
      </c>
    </row>
    <row r="38" spans="2:13" ht="15.75">
      <c r="B38" s="10" t="s">
        <v>153</v>
      </c>
      <c r="C38" s="21" t="s">
        <v>154</v>
      </c>
      <c r="D38" s="203" t="s">
        <v>155</v>
      </c>
      <c r="E38" s="192"/>
      <c r="F38" s="192"/>
      <c r="G38" s="192"/>
      <c r="H38" s="22"/>
      <c r="I38" s="144">
        <f>ROUND((0),2)</f>
        <v>0</v>
      </c>
      <c r="J38" s="6">
        <f>ROUND((9),2)</f>
        <v>9</v>
      </c>
      <c r="M38">
        <f t="shared" si="0"/>
        <v>0</v>
      </c>
    </row>
    <row r="39" spans="2:13" ht="15.75">
      <c r="B39" s="10" t="s">
        <v>156</v>
      </c>
      <c r="C39" s="21" t="s">
        <v>157</v>
      </c>
      <c r="D39" s="203" t="s">
        <v>158</v>
      </c>
      <c r="E39" s="204"/>
      <c r="F39" s="204"/>
      <c r="G39" s="204"/>
      <c r="H39" s="22"/>
      <c r="I39" s="6">
        <f t="shared" si="2"/>
        <v>0</v>
      </c>
      <c r="J39" s="6">
        <f t="shared" si="1"/>
        <v>0</v>
      </c>
      <c r="M39">
        <f t="shared" si="0"/>
        <v>0</v>
      </c>
    </row>
    <row r="40" spans="2:13" ht="15.75">
      <c r="B40" s="10" t="s">
        <v>159</v>
      </c>
      <c r="C40" s="21" t="s">
        <v>160</v>
      </c>
      <c r="D40" s="203" t="s">
        <v>161</v>
      </c>
      <c r="E40" s="204"/>
      <c r="F40" s="204"/>
      <c r="G40" s="204"/>
      <c r="H40" s="22"/>
      <c r="I40" s="6">
        <f t="shared" si="2"/>
        <v>0</v>
      </c>
      <c r="J40" s="6">
        <f t="shared" si="1"/>
        <v>0</v>
      </c>
      <c r="M40">
        <f t="shared" si="0"/>
        <v>0</v>
      </c>
    </row>
    <row r="41" spans="2:13" ht="15.75">
      <c r="B41" s="10" t="s">
        <v>162</v>
      </c>
      <c r="C41" s="21" t="s">
        <v>163</v>
      </c>
      <c r="D41" s="203" t="s">
        <v>164</v>
      </c>
      <c r="E41" s="204"/>
      <c r="F41" s="204"/>
      <c r="G41" s="204"/>
      <c r="H41" s="22"/>
      <c r="I41" s="144">
        <f>ROUND((1260.33),2)</f>
        <v>1260.33</v>
      </c>
      <c r="J41" s="6">
        <f>ROUND((2403.68),2)</f>
        <v>2403.68</v>
      </c>
      <c r="L41">
        <v>41328.04</v>
      </c>
      <c r="M41">
        <f t="shared" si="0"/>
        <v>11969.427710843374</v>
      </c>
    </row>
    <row r="42" spans="2:13" ht="15.75">
      <c r="B42" s="10" t="s">
        <v>165</v>
      </c>
      <c r="C42" s="21" t="s">
        <v>166</v>
      </c>
      <c r="D42" s="215" t="s">
        <v>167</v>
      </c>
      <c r="E42" s="216"/>
      <c r="F42" s="216"/>
      <c r="G42" s="217"/>
      <c r="H42" s="22"/>
      <c r="I42" s="6">
        <f t="shared" si="2"/>
        <v>0</v>
      </c>
      <c r="J42" s="6">
        <f t="shared" si="1"/>
        <v>0</v>
      </c>
      <c r="M42">
        <f t="shared" si="0"/>
        <v>0</v>
      </c>
    </row>
    <row r="43" spans="2:13" ht="21" customHeight="1">
      <c r="B43" s="19" t="s">
        <v>46</v>
      </c>
      <c r="C43" s="24" t="s">
        <v>168</v>
      </c>
      <c r="D43" s="200" t="s">
        <v>168</v>
      </c>
      <c r="E43" s="201"/>
      <c r="F43" s="201"/>
      <c r="G43" s="202"/>
      <c r="H43" s="20"/>
      <c r="I43" s="34">
        <f>I18-I28</f>
        <v>-120.51000000000931</v>
      </c>
      <c r="J43" s="34">
        <f>J18-J28</f>
        <v>562.7000000000116</v>
      </c>
      <c r="L43">
        <v>7372.8499999999185</v>
      </c>
      <c r="M43">
        <f t="shared" si="0"/>
        <v>2135.3249536607736</v>
      </c>
    </row>
    <row r="44" spans="2:13" ht="15.75">
      <c r="B44" s="19" t="s">
        <v>70</v>
      </c>
      <c r="C44" s="19" t="s">
        <v>169</v>
      </c>
      <c r="D44" s="214" t="s">
        <v>169</v>
      </c>
      <c r="E44" s="201"/>
      <c r="F44" s="201"/>
      <c r="G44" s="202"/>
      <c r="H44" s="25"/>
      <c r="I44" s="34">
        <f>I45+I46-I47</f>
        <v>0</v>
      </c>
      <c r="J44" s="34">
        <f>J45+J46-J47</f>
        <v>165</v>
      </c>
      <c r="L44">
        <v>0</v>
      </c>
      <c r="M44">
        <f t="shared" si="0"/>
        <v>0</v>
      </c>
    </row>
    <row r="45" spans="2:13" ht="15.75">
      <c r="B45" s="23" t="s">
        <v>170</v>
      </c>
      <c r="C45" s="21" t="s">
        <v>171</v>
      </c>
      <c r="D45" s="215" t="s">
        <v>172</v>
      </c>
      <c r="E45" s="216"/>
      <c r="F45" s="216"/>
      <c r="G45" s="217"/>
      <c r="H45" s="26"/>
      <c r="I45" s="144">
        <f>ROUND((0),2)</f>
        <v>0</v>
      </c>
      <c r="J45" s="6">
        <f>ROUND((165),2)</f>
        <v>165</v>
      </c>
      <c r="M45">
        <f t="shared" si="0"/>
        <v>0</v>
      </c>
    </row>
    <row r="46" spans="2:13" ht="30" customHeight="1">
      <c r="B46" s="23" t="s">
        <v>20</v>
      </c>
      <c r="C46" s="21" t="s">
        <v>173</v>
      </c>
      <c r="D46" s="211" t="s">
        <v>173</v>
      </c>
      <c r="E46" s="212"/>
      <c r="F46" s="212"/>
      <c r="G46" s="213"/>
      <c r="H46" s="26"/>
      <c r="I46" s="11"/>
      <c r="J46" s="11"/>
      <c r="M46">
        <f t="shared" si="0"/>
        <v>0</v>
      </c>
    </row>
    <row r="47" spans="2:13" ht="15.75">
      <c r="B47" s="23" t="s">
        <v>174</v>
      </c>
      <c r="C47" s="21" t="s">
        <v>175</v>
      </c>
      <c r="D47" s="215" t="s">
        <v>176</v>
      </c>
      <c r="E47" s="216"/>
      <c r="F47" s="216"/>
      <c r="G47" s="217"/>
      <c r="H47" s="26"/>
      <c r="I47" s="11">
        <v>0</v>
      </c>
      <c r="J47" s="11">
        <v>0</v>
      </c>
      <c r="L47">
        <v>0</v>
      </c>
      <c r="M47">
        <f t="shared" si="0"/>
        <v>0</v>
      </c>
    </row>
    <row r="48" spans="2:13" ht="32.25" customHeight="1">
      <c r="B48" s="19" t="s">
        <v>77</v>
      </c>
      <c r="C48" s="24" t="s">
        <v>177</v>
      </c>
      <c r="D48" s="210" t="s">
        <v>177</v>
      </c>
      <c r="E48" s="208"/>
      <c r="F48" s="208"/>
      <c r="G48" s="209"/>
      <c r="H48" s="25"/>
      <c r="I48" s="6">
        <f>ROUND((0),2)</f>
        <v>0</v>
      </c>
      <c r="J48" s="6">
        <f>ROUND((0),2)</f>
        <v>0</v>
      </c>
      <c r="L48">
        <v>-67.66</v>
      </c>
      <c r="M48">
        <f t="shared" si="0"/>
        <v>-19.59569045412419</v>
      </c>
    </row>
    <row r="49" spans="2:13" ht="47.25" customHeight="1">
      <c r="B49" s="19" t="s">
        <v>98</v>
      </c>
      <c r="C49" s="24" t="s">
        <v>178</v>
      </c>
      <c r="D49" s="210" t="s">
        <v>178</v>
      </c>
      <c r="E49" s="208"/>
      <c r="F49" s="208"/>
      <c r="G49" s="209"/>
      <c r="H49" s="25"/>
      <c r="I49" s="9">
        <v>0</v>
      </c>
      <c r="J49" s="9">
        <v>0</v>
      </c>
      <c r="L49">
        <v>0</v>
      </c>
      <c r="M49">
        <f t="shared" si="0"/>
        <v>0</v>
      </c>
    </row>
    <row r="50" spans="2:13" ht="15.75">
      <c r="B50" s="19" t="s">
        <v>110</v>
      </c>
      <c r="C50" s="24" t="s">
        <v>179</v>
      </c>
      <c r="D50" s="210" t="s">
        <v>179</v>
      </c>
      <c r="E50" s="208"/>
      <c r="F50" s="208"/>
      <c r="G50" s="209"/>
      <c r="H50" s="25"/>
      <c r="I50" s="9"/>
      <c r="J50" s="9"/>
      <c r="M50">
        <f t="shared" si="0"/>
        <v>0</v>
      </c>
    </row>
    <row r="51" spans="2:15" ht="15.75">
      <c r="B51" s="19" t="s">
        <v>180</v>
      </c>
      <c r="C51" s="19" t="s">
        <v>181</v>
      </c>
      <c r="D51" s="207" t="s">
        <v>181</v>
      </c>
      <c r="E51" s="208"/>
      <c r="F51" s="208"/>
      <c r="G51" s="209"/>
      <c r="H51" s="25"/>
      <c r="I51" s="34">
        <f>I43+I48+I44</f>
        <v>-120.51000000000931</v>
      </c>
      <c r="J51" s="34">
        <f>J43+J48+J44</f>
        <v>727.7000000000116</v>
      </c>
      <c r="K51" s="67"/>
      <c r="L51" s="67"/>
      <c r="M51" s="67"/>
      <c r="N51" s="67"/>
      <c r="O51" s="67"/>
    </row>
    <row r="52" spans="2:15" ht="20.25" customHeight="1">
      <c r="B52" s="19" t="s">
        <v>11</v>
      </c>
      <c r="C52" s="19" t="s">
        <v>182</v>
      </c>
      <c r="D52" s="207" t="s">
        <v>182</v>
      </c>
      <c r="E52" s="208"/>
      <c r="F52" s="208"/>
      <c r="G52" s="209"/>
      <c r="H52" s="25"/>
      <c r="I52" s="9"/>
      <c r="J52" s="9"/>
      <c r="K52" s="68"/>
      <c r="L52" s="68"/>
      <c r="M52" s="68"/>
      <c r="N52" s="68"/>
      <c r="O52" s="68"/>
    </row>
    <row r="53" spans="2:15" ht="15.75">
      <c r="B53" s="19" t="s">
        <v>183</v>
      </c>
      <c r="C53" s="24" t="s">
        <v>184</v>
      </c>
      <c r="D53" s="210" t="s">
        <v>184</v>
      </c>
      <c r="E53" s="208"/>
      <c r="F53" s="208"/>
      <c r="G53" s="209"/>
      <c r="H53" s="25"/>
      <c r="I53" s="34">
        <f>I51</f>
        <v>-120.51000000000931</v>
      </c>
      <c r="J53" s="9">
        <f>J51</f>
        <v>727.7000000000116</v>
      </c>
      <c r="K53" s="67"/>
      <c r="L53" s="67"/>
      <c r="M53" s="67"/>
      <c r="N53" s="67"/>
      <c r="O53" s="67"/>
    </row>
    <row r="54" spans="2:13" ht="30.75" customHeight="1">
      <c r="B54" s="23" t="s">
        <v>11</v>
      </c>
      <c r="C54" s="21" t="s">
        <v>185</v>
      </c>
      <c r="D54" s="211" t="s">
        <v>185</v>
      </c>
      <c r="E54" s="212"/>
      <c r="F54" s="212"/>
      <c r="G54" s="213"/>
      <c r="H54" s="26"/>
      <c r="I54" s="11"/>
      <c r="J54" s="11"/>
      <c r="M54">
        <f t="shared" si="0"/>
        <v>0</v>
      </c>
    </row>
    <row r="55" spans="2:13" ht="15.75">
      <c r="B55" s="23" t="s">
        <v>20</v>
      </c>
      <c r="C55" s="21" t="s">
        <v>186</v>
      </c>
      <c r="D55" s="211" t="s">
        <v>186</v>
      </c>
      <c r="E55" s="212"/>
      <c r="F55" s="212"/>
      <c r="G55" s="213"/>
      <c r="H55" s="26"/>
      <c r="I55" s="11"/>
      <c r="J55" s="11"/>
      <c r="M55">
        <f t="shared" si="0"/>
        <v>0</v>
      </c>
    </row>
    <row r="56" spans="2:10" ht="15.75">
      <c r="B56" s="17"/>
      <c r="C56" s="15"/>
      <c r="D56" s="35"/>
      <c r="E56" s="36"/>
      <c r="F56" s="36"/>
      <c r="G56" s="36"/>
      <c r="H56" s="37"/>
      <c r="I56" s="38"/>
      <c r="J56" s="38"/>
    </row>
    <row r="57" spans="2:10" ht="15">
      <c r="B57" s="27"/>
      <c r="C57" s="27"/>
      <c r="D57" s="27"/>
      <c r="E57" s="27"/>
      <c r="F57" s="13"/>
      <c r="G57" s="13"/>
      <c r="H57" s="13"/>
      <c r="I57" s="13"/>
      <c r="J57" s="13"/>
    </row>
    <row r="58" spans="2:10" ht="15.75" customHeight="1">
      <c r="B58" s="205" t="s">
        <v>202</v>
      </c>
      <c r="C58" s="205"/>
      <c r="D58" s="205"/>
      <c r="E58" s="205"/>
      <c r="F58" s="206"/>
      <c r="G58" s="206"/>
      <c r="H58" s="182" t="s">
        <v>203</v>
      </c>
      <c r="I58" s="182"/>
      <c r="J58" s="182"/>
    </row>
    <row r="59" spans="2:10" ht="15">
      <c r="B59" s="12"/>
      <c r="C59" s="12"/>
      <c r="D59" s="189"/>
      <c r="E59" s="190"/>
      <c r="F59" s="12"/>
      <c r="G59" s="12"/>
      <c r="H59" s="14"/>
      <c r="I59" s="12"/>
      <c r="J59" s="14"/>
    </row>
    <row r="60" spans="2:10" ht="15.75">
      <c r="B60" s="183" t="s">
        <v>199</v>
      </c>
      <c r="C60" s="183"/>
      <c r="D60" s="183"/>
      <c r="E60" s="183"/>
      <c r="F60" s="183"/>
      <c r="G60" s="183"/>
      <c r="H60" s="183"/>
      <c r="I60" s="184" t="s">
        <v>201</v>
      </c>
      <c r="J60" s="184"/>
    </row>
  </sheetData>
  <sheetProtection/>
  <mergeCells count="59">
    <mergeCell ref="D36:G36"/>
    <mergeCell ref="D55:G55"/>
    <mergeCell ref="D48:G48"/>
    <mergeCell ref="D49:G49"/>
    <mergeCell ref="B4:J4"/>
    <mergeCell ref="B5:J5"/>
    <mergeCell ref="B6:J6"/>
    <mergeCell ref="B7:J7"/>
    <mergeCell ref="D37:G37"/>
    <mergeCell ref="D38:G38"/>
    <mergeCell ref="D35:G35"/>
    <mergeCell ref="D44:G44"/>
    <mergeCell ref="D45:G45"/>
    <mergeCell ref="D46:G46"/>
    <mergeCell ref="D47:G47"/>
    <mergeCell ref="D51:G51"/>
    <mergeCell ref="D39:G39"/>
    <mergeCell ref="D40:G40"/>
    <mergeCell ref="D41:G41"/>
    <mergeCell ref="D42:G42"/>
    <mergeCell ref="B58:E58"/>
    <mergeCell ref="F58:G58"/>
    <mergeCell ref="D52:G52"/>
    <mergeCell ref="D53:G53"/>
    <mergeCell ref="D54:G54"/>
    <mergeCell ref="D29:G29"/>
    <mergeCell ref="D30:G30"/>
    <mergeCell ref="D31:G31"/>
    <mergeCell ref="D32:G32"/>
    <mergeCell ref="D50:G50"/>
    <mergeCell ref="D43:G43"/>
    <mergeCell ref="D25:G25"/>
    <mergeCell ref="D26:G26"/>
    <mergeCell ref="D33:G33"/>
    <mergeCell ref="D34:G34"/>
    <mergeCell ref="D21:G21"/>
    <mergeCell ref="D22:G22"/>
    <mergeCell ref="D23:G23"/>
    <mergeCell ref="D24:G24"/>
    <mergeCell ref="D27:G27"/>
    <mergeCell ref="D28:G28"/>
    <mergeCell ref="D20:G20"/>
    <mergeCell ref="B14:J14"/>
    <mergeCell ref="B16:J16"/>
    <mergeCell ref="B11:J11"/>
    <mergeCell ref="B12:J12"/>
    <mergeCell ref="B13:J13"/>
    <mergeCell ref="D19:G19"/>
    <mergeCell ref="F15:G15"/>
    <mergeCell ref="H58:J58"/>
    <mergeCell ref="B60:H60"/>
    <mergeCell ref="I60:J60"/>
    <mergeCell ref="B8:J8"/>
    <mergeCell ref="B9:J9"/>
    <mergeCell ref="D59:E59"/>
    <mergeCell ref="B17:C17"/>
    <mergeCell ref="D17:G17"/>
    <mergeCell ref="D18:G18"/>
    <mergeCell ref="B10:J10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Virginija_S</dc:creator>
  <cp:keywords/>
  <dc:description/>
  <cp:lastModifiedBy>irena_t</cp:lastModifiedBy>
  <cp:lastPrinted>2021-01-22T08:35:05Z</cp:lastPrinted>
  <dcterms:created xsi:type="dcterms:W3CDTF">2011-01-21T12:46:15Z</dcterms:created>
  <dcterms:modified xsi:type="dcterms:W3CDTF">2021-05-04T12:46:36Z</dcterms:modified>
  <cp:category/>
  <cp:version/>
  <cp:contentType/>
  <cp:contentStatus/>
</cp:coreProperties>
</file>